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showInkAnnotation="0" codeName="ThisWorkbook" defaultThemeVersion="124226"/>
  <mc:AlternateContent xmlns:mc="http://schemas.openxmlformats.org/markup-compatibility/2006">
    <mc:Choice Requires="x15">
      <x15ac:absPath xmlns:x15ac="http://schemas.microsoft.com/office/spreadsheetml/2010/11/ac" url="C:\Users\FlySt\Dropbox\SFC New Web\20-01 Leasebacks\"/>
    </mc:Choice>
  </mc:AlternateContent>
  <bookViews>
    <workbookView xWindow="0" yWindow="0" windowWidth="13800" windowHeight="6105" tabRatio="849"/>
  </bookViews>
  <sheets>
    <sheet name="Costs, Rentl Inc, Tax Benfts" sheetId="2" r:id="rId1"/>
  </sheets>
  <definedNames>
    <definedName name="_xlnm.Print_Area" localSheetId="0">'Costs, Rentl Inc, Tax Benfts'!$A$1:$L$80</definedName>
  </definedNames>
  <calcPr calcId="171027" iterate="1" concurrentCalc="0"/>
</workbook>
</file>

<file path=xl/calcChain.xml><?xml version="1.0" encoding="utf-8"?>
<calcChain xmlns="http://schemas.openxmlformats.org/spreadsheetml/2006/main">
  <c r="E10" i="2" l="1"/>
  <c r="I25" i="2"/>
  <c r="I28" i="2"/>
  <c r="E33" i="2"/>
  <c r="J29" i="2"/>
  <c r="I29" i="2"/>
  <c r="I44" i="2"/>
  <c r="I35" i="2"/>
  <c r="I46" i="2"/>
  <c r="I26" i="2"/>
  <c r="J26" i="2"/>
  <c r="E40" i="2"/>
  <c r="I48" i="2"/>
  <c r="J48" i="2"/>
  <c r="I21" i="2"/>
  <c r="J21" i="2"/>
  <c r="J25" i="2"/>
  <c r="J28" i="2"/>
  <c r="J31" i="2"/>
  <c r="J35" i="2"/>
  <c r="J36" i="2"/>
  <c r="J51" i="2"/>
  <c r="I31" i="2"/>
  <c r="I36" i="2"/>
  <c r="I51" i="2"/>
  <c r="E12" i="2"/>
  <c r="E15" i="2"/>
  <c r="E13" i="2"/>
  <c r="E17" i="2"/>
  <c r="J22" i="2"/>
  <c r="I22" i="2"/>
  <c r="E18" i="2"/>
  <c r="J23" i="2"/>
  <c r="I23" i="2"/>
  <c r="I27" i="2"/>
  <c r="I42" i="2"/>
  <c r="E14" i="2"/>
  <c r="J24" i="2"/>
  <c r="J27" i="2"/>
  <c r="L21" i="2"/>
  <c r="L22" i="2"/>
  <c r="L23" i="2"/>
  <c r="L24" i="2"/>
  <c r="L25" i="2"/>
  <c r="L26" i="2"/>
  <c r="L27" i="2"/>
  <c r="L28" i="2"/>
  <c r="L29" i="2"/>
  <c r="L31" i="2"/>
</calcChain>
</file>

<file path=xl/comments1.xml><?xml version="1.0" encoding="utf-8"?>
<comments xmlns="http://schemas.openxmlformats.org/spreadsheetml/2006/main">
  <authors>
    <author>Admin1</author>
    <author>Bert Postma</author>
  </authors>
  <commentList>
    <comment ref="J22" authorId="0" shapeId="0">
      <text>
        <r>
          <rPr>
            <b/>
            <sz val="9"/>
            <color indexed="81"/>
            <rFont val="Tahoma"/>
            <family val="2"/>
          </rPr>
          <t>Assumes C-172S Avge Fuel use 9.0 GPH + $1 Oil per Hr</t>
        </r>
        <r>
          <rPr>
            <sz val="9"/>
            <color indexed="81"/>
            <rFont val="Tahoma"/>
            <family val="2"/>
          </rPr>
          <t xml:space="preserve">
</t>
        </r>
      </text>
    </comment>
    <comment ref="J23" authorId="0" shapeId="0">
      <text>
        <r>
          <rPr>
            <b/>
            <sz val="9"/>
            <color indexed="81"/>
            <rFont val="Tahoma"/>
            <family val="2"/>
          </rPr>
          <t xml:space="preserve">Assumes 0.1833 Shop Hrs are needed per 1.0 Hobbs Hr.  Parts costs per Hr est. to be 30% of Labor Costs
</t>
        </r>
      </text>
    </comment>
    <comment ref="I24" authorId="0" shapeId="0">
      <text>
        <r>
          <rPr>
            <b/>
            <sz val="9"/>
            <color indexed="81"/>
            <rFont val="Tahoma"/>
            <family val="2"/>
          </rPr>
          <t xml:space="preserve">Annual Subscription costs for Garmin Data bases updates, and XM Satellite Wx services, Sirius Radio </t>
        </r>
      </text>
    </comment>
    <comment ref="I25" authorId="0" shapeId="0">
      <text>
        <r>
          <rPr>
            <b/>
            <sz val="9"/>
            <color indexed="81"/>
            <rFont val="Tahoma"/>
            <family val="2"/>
          </rPr>
          <t>Insurance costs for rental use were received costing 2% of the Hull Value plus $1.5K/yr for liability, for a 4 seat aircraft.</t>
        </r>
        <r>
          <rPr>
            <sz val="9"/>
            <color indexed="81"/>
            <rFont val="Tahoma"/>
            <family val="2"/>
          </rPr>
          <t xml:space="preserve">
</t>
        </r>
      </text>
    </comment>
    <comment ref="I26" authorId="0" shapeId="0">
      <text>
        <r>
          <rPr>
            <b/>
            <sz val="9"/>
            <color indexed="81"/>
            <rFont val="Tahoma"/>
            <family val="2"/>
          </rPr>
          <t xml:space="preserve">Based upon Depreciation approximated by an average of 5.6% per yr over a 5 yr period since new, per 'Vref' blue book
</t>
        </r>
        <r>
          <rPr>
            <sz val="9"/>
            <color indexed="81"/>
            <rFont val="Tahoma"/>
            <family val="2"/>
          </rPr>
          <t xml:space="preserve">
</t>
        </r>
      </text>
    </comment>
    <comment ref="I27" authorId="1" shapeId="0">
      <text>
        <r>
          <rPr>
            <b/>
            <sz val="9"/>
            <color indexed="81"/>
            <rFont val="Tahoma"/>
            <family val="2"/>
          </rPr>
          <t>Parking $154/mo at KPAO, in Palo Alto, CA</t>
        </r>
        <r>
          <rPr>
            <sz val="9"/>
            <color indexed="81"/>
            <rFont val="Tahoma"/>
            <family val="2"/>
          </rPr>
          <t xml:space="preserve">
</t>
        </r>
      </text>
    </comment>
    <comment ref="I28" authorId="0" shapeId="0">
      <text>
        <r>
          <rPr>
            <b/>
            <sz val="9"/>
            <color indexed="81"/>
            <rFont val="Tahoma"/>
            <family val="2"/>
          </rPr>
          <t>1.1% of Aircraft Value with Sales Tax Value, for Aircraft parked at KPAO in Santa Clara County, CA</t>
        </r>
        <r>
          <rPr>
            <sz val="9"/>
            <color indexed="81"/>
            <rFont val="Tahoma"/>
            <family val="2"/>
          </rPr>
          <t xml:space="preserve">
</t>
        </r>
      </text>
    </comment>
    <comment ref="J29" authorId="0" shapeId="0">
      <text>
        <r>
          <rPr>
            <b/>
            <sz val="9"/>
            <color indexed="81"/>
            <rFont val="Tahoma"/>
            <family val="2"/>
          </rPr>
          <t xml:space="preserve">In Rental Situations, Admin Fees or Costs are customarily estimated as a % of the Rental Fee. E.g. 15%
</t>
        </r>
        <r>
          <rPr>
            <sz val="9"/>
            <color indexed="81"/>
            <rFont val="Tahoma"/>
            <family val="2"/>
          </rPr>
          <t xml:space="preserve">
</t>
        </r>
      </text>
    </comment>
  </commentList>
</comments>
</file>

<file path=xl/sharedStrings.xml><?xml version="1.0" encoding="utf-8"?>
<sst xmlns="http://schemas.openxmlformats.org/spreadsheetml/2006/main" count="41" uniqueCount="41">
  <si>
    <t>Finance Costs</t>
  </si>
  <si>
    <t>Maintenance &amp; Repair</t>
  </si>
  <si>
    <t>Depreciation/Reserve Fund</t>
  </si>
  <si>
    <t>Parking</t>
  </si>
  <si>
    <t>Property Taxes</t>
  </si>
  <si>
    <t>Flight Hrs/Mo</t>
  </si>
  <si>
    <t>Insurance (Personal/Rental Use)</t>
  </si>
  <si>
    <t>Used</t>
  </si>
  <si>
    <t>Low</t>
  </si>
  <si>
    <t>High</t>
  </si>
  <si>
    <t>Maintenance Shop Rate ($/Hr)</t>
  </si>
  <si>
    <t>$/Yr</t>
  </si>
  <si>
    <t>$/Hr</t>
  </si>
  <si>
    <t>For slider control calc</t>
  </si>
  <si>
    <t>Tax Bracket</t>
  </si>
  <si>
    <t>Aircraft Value</t>
  </si>
  <si>
    <t>Loan Rate (%APR)</t>
  </si>
  <si>
    <t>Move sliders to change value</t>
  </si>
  <si>
    <t xml:space="preserve">   New</t>
  </si>
  <si>
    <t>Down Pmnt Oppty Cst (%APR)</t>
  </si>
  <si>
    <t>Fuel Servs Cost ($/Gal)</t>
  </si>
  <si>
    <t>Rental Revenue ($/Yr, $/Hr)</t>
  </si>
  <si>
    <t>Net Income ($/Yr, $/Hr)</t>
  </si>
  <si>
    <t>Rental Revenue</t>
  </si>
  <si>
    <t>Rental Revenue ($/Hr)</t>
  </si>
  <si>
    <t>Example: Try a Cessna Skyhawk with a Usage of 45 Hours/Mo (540 Hours, 64,800 Miles per Yr.)</t>
  </si>
  <si>
    <t>Down payment</t>
  </si>
  <si>
    <t>Fuel &amp; Oil Servs</t>
  </si>
  <si>
    <t>Lease Benefits, Costs, Revenue, Tax Effects C-172</t>
  </si>
  <si>
    <t>Open in Excel on PC or MAC to be able to use full spreadsheet functionality</t>
  </si>
  <si>
    <t>Admin/Mrktng Costs</t>
  </si>
  <si>
    <t xml:space="preserve"> Please notify SFC if you believe this calculator deserves corrections or updates.</t>
  </si>
  <si>
    <t>XM Wx &amp; Garmin Data Bases, Electronic Srvcs</t>
  </si>
  <si>
    <r>
      <t xml:space="preserve">Bus Use Deduction: </t>
    </r>
    <r>
      <rPr>
        <b/>
        <sz val="8"/>
        <color theme="1" tint="0.249977111117893"/>
        <rFont val="Calibri"/>
        <family val="2"/>
        <scheme val="minor"/>
      </rPr>
      <t>Int, Depr (5 yr S.L.), Ops Exp</t>
    </r>
  </si>
  <si>
    <t>© SFC 2016-2017</t>
  </si>
  <si>
    <t>Possible Tax Effects</t>
  </si>
  <si>
    <t>Bonus Depreciation*</t>
  </si>
  <si>
    <t>Net Tax Deduction (Rentl Revenue - Deductions)</t>
  </si>
  <si>
    <t>Cost ($/Yr, $/Hr)</t>
  </si>
  <si>
    <t>Bus. Use Tax Benefits ($/Yr, $/Hr)</t>
  </si>
  <si>
    <t>Net Income (Costs) After Tax ($/Yr,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</si>
</sst>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s>
  <fonts count="34" x14ac:knownFonts="1">
    <font>
      <sz val="11"/>
      <color theme="1"/>
      <name val="Calibri"/>
      <family val="2"/>
      <scheme val="minor"/>
    </font>
    <font>
      <sz val="11"/>
      <color theme="1"/>
      <name val="Calibri"/>
      <family val="2"/>
      <scheme val="minor"/>
    </font>
    <font>
      <sz val="10"/>
      <name val="Arial"/>
      <family val="2"/>
    </font>
    <font>
      <sz val="10"/>
      <name val="Arial"/>
      <family val="2"/>
    </font>
    <font>
      <sz val="9"/>
      <color theme="1"/>
      <name val="Calibri"/>
      <family val="2"/>
      <scheme val="minor"/>
    </font>
    <font>
      <sz val="20"/>
      <color theme="1"/>
      <name val="Calibri"/>
      <family val="2"/>
      <scheme val="minor"/>
    </font>
    <font>
      <sz val="8"/>
      <color theme="1"/>
      <name val="Calibri"/>
      <family val="2"/>
      <scheme val="minor"/>
    </font>
    <font>
      <b/>
      <sz val="12"/>
      <color theme="4" tint="-0.499984740745262"/>
      <name val="Calibri"/>
      <family val="2"/>
      <scheme val="minor"/>
    </font>
    <font>
      <b/>
      <sz val="9"/>
      <color theme="1"/>
      <name val="Calibri"/>
      <family val="2"/>
      <scheme val="minor"/>
    </font>
    <font>
      <b/>
      <sz val="12"/>
      <color theme="5" tint="-0.249977111117893"/>
      <name val="Calibri"/>
      <family val="2"/>
      <scheme val="minor"/>
    </font>
    <font>
      <sz val="9"/>
      <color rgb="FFC00000"/>
      <name val="Calibri"/>
      <family val="2"/>
      <scheme val="minor"/>
    </font>
    <font>
      <b/>
      <sz val="11"/>
      <color theme="4" tint="-0.499984740745262"/>
      <name val="Trebuchet MS"/>
      <family val="2"/>
    </font>
    <font>
      <b/>
      <sz val="11"/>
      <color theme="1" tint="0.34998626667073579"/>
      <name val="Calibri"/>
      <family val="2"/>
      <scheme val="minor"/>
    </font>
    <font>
      <b/>
      <sz val="8"/>
      <color theme="1"/>
      <name val="Calibri"/>
      <family val="2"/>
      <scheme val="minor"/>
    </font>
    <font>
      <b/>
      <sz val="11"/>
      <color theme="3" tint="-0.499984740745262"/>
      <name val="Calibri"/>
      <family val="2"/>
      <scheme val="minor"/>
    </font>
    <font>
      <sz val="8"/>
      <color theme="0" tint="-0.249977111117893"/>
      <name val="Calibri"/>
      <family val="2"/>
      <scheme val="minor"/>
    </font>
    <font>
      <sz val="11"/>
      <color theme="0" tint="-0.249977111117893"/>
      <name val="Calibri"/>
      <family val="2"/>
      <scheme val="minor"/>
    </font>
    <font>
      <sz val="8"/>
      <color theme="1" tint="0.14999847407452621"/>
      <name val="Calibri"/>
      <family val="2"/>
      <scheme val="minor"/>
    </font>
    <font>
      <b/>
      <sz val="11"/>
      <color theme="0" tint="-0.499984740745262"/>
      <name val="Calibri"/>
      <family val="2"/>
      <scheme val="minor"/>
    </font>
    <font>
      <b/>
      <sz val="11"/>
      <color theme="3" tint="-0.249977111117893"/>
      <name val="Calibri"/>
      <family val="2"/>
      <scheme val="minor"/>
    </font>
    <font>
      <b/>
      <sz val="10"/>
      <color theme="3" tint="-0.249977111117893"/>
      <name val="Calibri"/>
      <family val="2"/>
      <scheme val="minor"/>
    </font>
    <font>
      <sz val="11"/>
      <color theme="4" tint="0.59999389629810485"/>
      <name val="Calibri"/>
      <family val="2"/>
      <scheme val="minor"/>
    </font>
    <font>
      <sz val="11"/>
      <color theme="3" tint="-0.499984740745262"/>
      <name val="Calibri"/>
      <family val="2"/>
      <scheme val="minor"/>
    </font>
    <font>
      <sz val="9"/>
      <color indexed="81"/>
      <name val="Tahoma"/>
      <family val="2"/>
    </font>
    <font>
      <b/>
      <sz val="9"/>
      <color indexed="81"/>
      <name val="Tahoma"/>
      <family val="2"/>
    </font>
    <font>
      <b/>
      <sz val="18"/>
      <color theme="0"/>
      <name val="Calibri"/>
      <family val="2"/>
      <scheme val="minor"/>
    </font>
    <font>
      <b/>
      <sz val="11"/>
      <color theme="0"/>
      <name val="Calibri"/>
      <family val="2"/>
      <scheme val="minor"/>
    </font>
    <font>
      <b/>
      <sz val="11"/>
      <color theme="1"/>
      <name val="Calibri"/>
      <family val="2"/>
      <scheme val="minor"/>
    </font>
    <font>
      <b/>
      <sz val="12"/>
      <color theme="3" tint="0.39997558519241921"/>
      <name val="Calibri"/>
      <family val="2"/>
      <scheme val="minor"/>
    </font>
    <font>
      <b/>
      <sz val="11"/>
      <color theme="3" tint="0.39997558519241921"/>
      <name val="Calibri"/>
      <family val="2"/>
      <scheme val="minor"/>
    </font>
    <font>
      <b/>
      <sz val="11"/>
      <color theme="5" tint="-0.249977111117893"/>
      <name val="Calibri"/>
      <family val="2"/>
      <scheme val="minor"/>
    </font>
    <font>
      <b/>
      <sz val="11"/>
      <color theme="6" tint="-0.499984740745262"/>
      <name val="Calibri"/>
      <family val="2"/>
      <scheme val="minor"/>
    </font>
    <font>
      <b/>
      <sz val="8"/>
      <color theme="1" tint="0.249977111117893"/>
      <name val="Calibri"/>
      <family val="2"/>
      <scheme val="minor"/>
    </font>
    <font>
      <sz val="9"/>
      <color theme="0"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8">
    <border>
      <left/>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4" fontId="3" fillId="0" borderId="0" applyFont="0" applyFill="0" applyBorder="0" applyAlignment="0" applyProtection="0"/>
  </cellStyleXfs>
  <cellXfs count="94">
    <xf numFmtId="0" fontId="0" fillId="0" borderId="0" xfId="0"/>
    <xf numFmtId="6" fontId="11" fillId="0" borderId="6" xfId="0" applyNumberFormat="1" applyFont="1" applyBorder="1" applyProtection="1">
      <protection hidden="1"/>
    </xf>
    <xf numFmtId="41" fontId="11" fillId="0" borderId="6" xfId="0" applyNumberFormat="1" applyFont="1" applyBorder="1" applyProtection="1">
      <protection hidden="1"/>
    </xf>
    <xf numFmtId="10" fontId="11" fillId="0" borderId="6" xfId="0" applyNumberFormat="1" applyFont="1" applyBorder="1" applyProtection="1">
      <protection hidden="1"/>
    </xf>
    <xf numFmtId="8" fontId="11" fillId="0" borderId="6" xfId="0" applyNumberFormat="1" applyFont="1" applyBorder="1" applyProtection="1">
      <protection hidden="1"/>
    </xf>
    <xf numFmtId="0" fontId="5" fillId="0" borderId="0" xfId="0" applyFont="1" applyProtection="1">
      <protection locked="0" hidden="1"/>
    </xf>
    <xf numFmtId="0" fontId="0" fillId="0" borderId="0" xfId="0" applyProtection="1">
      <protection locked="0" hidden="1"/>
    </xf>
    <xf numFmtId="0" fontId="15" fillId="0" borderId="0" xfId="0" applyFont="1" applyFill="1" applyAlignment="1" applyProtection="1">
      <alignment wrapText="1"/>
      <protection locked="0" hidden="1"/>
    </xf>
    <xf numFmtId="0" fontId="16" fillId="0" borderId="0" xfId="0" applyFont="1" applyFill="1" applyProtection="1">
      <protection locked="0" hidden="1"/>
    </xf>
    <xf numFmtId="0" fontId="0" fillId="2" borderId="0" xfId="0" applyFill="1" applyProtection="1">
      <protection locked="0" hidden="1"/>
    </xf>
    <xf numFmtId="0" fontId="10" fillId="0" borderId="0" xfId="0" applyFont="1" applyAlignment="1" applyProtection="1">
      <protection locked="0" hidden="1"/>
    </xf>
    <xf numFmtId="0" fontId="4" fillId="0" borderId="0" xfId="0" applyFont="1" applyProtection="1">
      <protection locked="0" hidden="1"/>
    </xf>
    <xf numFmtId="0" fontId="6" fillId="0" borderId="0" xfId="0" applyFont="1" applyProtection="1">
      <protection locked="0" hidden="1"/>
    </xf>
    <xf numFmtId="0" fontId="19" fillId="0" borderId="7" xfId="0" applyFont="1" applyFill="1" applyBorder="1" applyProtection="1">
      <protection locked="0" hidden="1"/>
    </xf>
    <xf numFmtId="0" fontId="19" fillId="0" borderId="8" xfId="0" applyFont="1" applyFill="1" applyBorder="1" applyProtection="1">
      <protection locked="0" hidden="1"/>
    </xf>
    <xf numFmtId="0" fontId="19" fillId="0" borderId="9" xfId="0" applyFont="1" applyFill="1" applyBorder="1" applyProtection="1">
      <protection locked="0" hidden="1"/>
    </xf>
    <xf numFmtId="0" fontId="0" fillId="0" borderId="1" xfId="0" applyBorder="1" applyProtection="1">
      <protection locked="0" hidden="1"/>
    </xf>
    <xf numFmtId="0" fontId="0" fillId="0" borderId="2" xfId="0" applyBorder="1" applyProtection="1">
      <protection locked="0" hidden="1"/>
    </xf>
    <xf numFmtId="0" fontId="0" fillId="0" borderId="3" xfId="0" applyFill="1" applyBorder="1" applyProtection="1">
      <protection locked="0" hidden="1"/>
    </xf>
    <xf numFmtId="6" fontId="16" fillId="0" borderId="0" xfId="0" applyNumberFormat="1" applyFont="1" applyFill="1" applyProtection="1">
      <protection locked="0" hidden="1"/>
    </xf>
    <xf numFmtId="0" fontId="22" fillId="0" borderId="0" xfId="0" applyFont="1" applyFill="1" applyProtection="1">
      <protection locked="0" hidden="1"/>
    </xf>
    <xf numFmtId="6" fontId="11" fillId="0" borderId="0" xfId="0" applyNumberFormat="1" applyFont="1" applyProtection="1">
      <protection locked="0" hidden="1"/>
    </xf>
    <xf numFmtId="0" fontId="6" fillId="0" borderId="0" xfId="0" applyFont="1" applyAlignment="1" applyProtection="1">
      <alignment horizontal="right"/>
      <protection locked="0" hidden="1"/>
    </xf>
    <xf numFmtId="0" fontId="0" fillId="0" borderId="0" xfId="0" applyFill="1" applyProtection="1">
      <protection locked="0" hidden="1"/>
    </xf>
    <xf numFmtId="41" fontId="16" fillId="0" borderId="0" xfId="0" applyNumberFormat="1" applyFont="1" applyFill="1" applyProtection="1">
      <protection locked="0" hidden="1"/>
    </xf>
    <xf numFmtId="0" fontId="21" fillId="0" borderId="0" xfId="0" applyFont="1" applyProtection="1">
      <protection locked="0" hidden="1"/>
    </xf>
    <xf numFmtId="0" fontId="21" fillId="0" borderId="1" xfId="0" applyFont="1" applyBorder="1" applyProtection="1">
      <protection locked="0" hidden="1"/>
    </xf>
    <xf numFmtId="0" fontId="21" fillId="0" borderId="2" xfId="0" applyFont="1" applyBorder="1" applyProtection="1">
      <protection locked="0" hidden="1"/>
    </xf>
    <xf numFmtId="0" fontId="21" fillId="0" borderId="3" xfId="0" applyFont="1" applyFill="1" applyBorder="1" applyProtection="1">
      <protection locked="0" hidden="1"/>
    </xf>
    <xf numFmtId="10" fontId="21" fillId="0" borderId="0" xfId="0" applyNumberFormat="1" applyFont="1" applyFill="1" applyProtection="1">
      <protection locked="0" hidden="1"/>
    </xf>
    <xf numFmtId="10" fontId="16" fillId="0" borderId="0" xfId="0" applyNumberFormat="1" applyFont="1" applyFill="1" applyProtection="1">
      <protection locked="0" hidden="1"/>
    </xf>
    <xf numFmtId="0" fontId="20" fillId="0" borderId="0" xfId="0" applyFont="1" applyAlignment="1" applyProtection="1">
      <alignment horizontal="center"/>
      <protection locked="0" hidden="1"/>
    </xf>
    <xf numFmtId="0" fontId="16" fillId="0" borderId="0" xfId="0" applyFont="1" applyProtection="1">
      <protection locked="0" hidden="1"/>
    </xf>
    <xf numFmtId="0" fontId="12" fillId="0" borderId="0" xfId="0" applyFont="1" applyProtection="1">
      <protection locked="0" hidden="1"/>
    </xf>
    <xf numFmtId="0" fontId="0" fillId="0" borderId="0" xfId="0" applyFont="1" applyProtection="1">
      <protection locked="0" hidden="1"/>
    </xf>
    <xf numFmtId="5" fontId="0" fillId="0" borderId="0" xfId="0" applyNumberFormat="1" applyProtection="1">
      <protection locked="0" hidden="1"/>
    </xf>
    <xf numFmtId="0" fontId="19" fillId="0" borderId="0" xfId="0" applyFont="1" applyFill="1" applyBorder="1" applyProtection="1">
      <protection locked="0" hidden="1"/>
    </xf>
    <xf numFmtId="0" fontId="14" fillId="0" borderId="0" xfId="0" applyFont="1" applyFill="1" applyBorder="1" applyProtection="1">
      <protection locked="0" hidden="1"/>
    </xf>
    <xf numFmtId="6" fontId="9" fillId="0" borderId="0" xfId="0" applyNumberFormat="1" applyFont="1" applyFill="1" applyBorder="1" applyProtection="1">
      <protection locked="0" hidden="1"/>
    </xf>
    <xf numFmtId="9" fontId="16" fillId="0" borderId="0" xfId="1" applyFont="1" applyFill="1" applyBorder="1" applyProtection="1">
      <protection locked="0" hidden="1"/>
    </xf>
    <xf numFmtId="0" fontId="0" fillId="0" borderId="5" xfId="0" applyBorder="1" applyProtection="1">
      <protection locked="0" hidden="1"/>
    </xf>
    <xf numFmtId="9" fontId="16" fillId="0" borderId="0" xfId="0" applyNumberFormat="1" applyFont="1" applyProtection="1">
      <protection locked="0" hidden="1"/>
    </xf>
    <xf numFmtId="9" fontId="7" fillId="0" borderId="0" xfId="0" applyNumberFormat="1" applyFont="1" applyProtection="1">
      <protection locked="0" hidden="1"/>
    </xf>
    <xf numFmtId="0" fontId="0" fillId="0" borderId="0" xfId="0" applyBorder="1" applyProtection="1">
      <protection locked="0" hidden="1"/>
    </xf>
    <xf numFmtId="42" fontId="12" fillId="0" borderId="0" xfId="0" applyNumberFormat="1" applyFont="1" applyFill="1" applyProtection="1">
      <protection locked="0" hidden="1"/>
    </xf>
    <xf numFmtId="8" fontId="9" fillId="0" borderId="0" xfId="0" applyNumberFormat="1" applyFont="1" applyFill="1" applyBorder="1" applyProtection="1">
      <protection locked="0" hidden="1"/>
    </xf>
    <xf numFmtId="0" fontId="0" fillId="0" borderId="0" xfId="0" applyFill="1" applyBorder="1" applyProtection="1">
      <protection locked="0" hidden="1"/>
    </xf>
    <xf numFmtId="0" fontId="8" fillId="0" borderId="0" xfId="0" applyFont="1" applyAlignment="1" applyProtection="1">
      <alignment horizontal="left" wrapText="1"/>
      <protection locked="0" hidden="1"/>
    </xf>
    <xf numFmtId="0" fontId="13" fillId="0" borderId="0" xfId="0" applyFont="1" applyProtection="1">
      <protection locked="0" hidden="1"/>
    </xf>
    <xf numFmtId="0" fontId="27" fillId="0" borderId="0" xfId="0" applyFont="1" applyProtection="1">
      <protection locked="0" hidden="1"/>
    </xf>
    <xf numFmtId="6" fontId="11" fillId="0" borderId="0" xfId="0" applyNumberFormat="1" applyFont="1" applyBorder="1" applyProtection="1">
      <protection locked="0" hidden="1"/>
    </xf>
    <xf numFmtId="9" fontId="7" fillId="0" borderId="0" xfId="0" applyNumberFormat="1" applyFont="1" applyBorder="1" applyProtection="1">
      <protection locked="0" hidden="1"/>
    </xf>
    <xf numFmtId="42" fontId="12" fillId="0" borderId="0" xfId="0" applyNumberFormat="1" applyFont="1" applyProtection="1">
      <protection locked="0" hidden="1"/>
    </xf>
    <xf numFmtId="0" fontId="0" fillId="0" borderId="3" xfId="0" applyBorder="1" applyProtection="1">
      <protection locked="0" hidden="1"/>
    </xf>
    <xf numFmtId="0" fontId="26" fillId="0" borderId="0" xfId="0" applyFont="1" applyFill="1" applyProtection="1">
      <protection locked="0" hidden="1"/>
    </xf>
    <xf numFmtId="0" fontId="28" fillId="0" borderId="0" xfId="0" applyFont="1" applyFill="1" applyBorder="1" applyProtection="1">
      <protection locked="0" hidden="1"/>
    </xf>
    <xf numFmtId="0" fontId="12" fillId="0" borderId="0" xfId="0" applyFont="1" applyFill="1" applyBorder="1" applyProtection="1">
      <protection locked="0" hidden="1"/>
    </xf>
    <xf numFmtId="0" fontId="28" fillId="0" borderId="12" xfId="0" applyFont="1" applyFill="1" applyBorder="1" applyProtection="1">
      <protection locked="0" hidden="1"/>
    </xf>
    <xf numFmtId="0" fontId="29" fillId="0" borderId="13" xfId="0" applyFont="1" applyFill="1" applyBorder="1" applyProtection="1">
      <protection locked="0" hidden="1"/>
    </xf>
    <xf numFmtId="0" fontId="12" fillId="0" borderId="0" xfId="0" applyFont="1" applyFill="1" applyProtection="1">
      <protection locked="0" hidden="1"/>
    </xf>
    <xf numFmtId="0" fontId="0" fillId="0" borderId="0" xfId="0" applyFont="1" applyFill="1" applyProtection="1">
      <protection locked="0" hidden="1"/>
    </xf>
    <xf numFmtId="42" fontId="12" fillId="0" borderId="10" xfId="0" applyNumberFormat="1" applyFont="1" applyBorder="1" applyProtection="1">
      <protection locked="0" hidden="1"/>
    </xf>
    <xf numFmtId="6" fontId="12" fillId="0" borderId="10" xfId="0" applyNumberFormat="1" applyFont="1" applyBorder="1" applyProtection="1">
      <protection locked="0" hidden="1"/>
    </xf>
    <xf numFmtId="6" fontId="31" fillId="0" borderId="10" xfId="0" applyNumberFormat="1" applyFont="1" applyFill="1" applyBorder="1" applyProtection="1">
      <protection locked="0" hidden="1"/>
    </xf>
    <xf numFmtId="5" fontId="30" fillId="0" borderId="10" xfId="0" applyNumberFormat="1" applyFont="1" applyBorder="1" applyProtection="1">
      <protection locked="0" hidden="1"/>
    </xf>
    <xf numFmtId="0" fontId="25" fillId="3" borderId="0" xfId="2" applyFont="1" applyFill="1" applyAlignment="1" applyProtection="1">
      <alignment horizontal="center" vertical="center"/>
      <protection locked="0" hidden="1"/>
    </xf>
    <xf numFmtId="42" fontId="12" fillId="0" borderId="10" xfId="0" applyNumberFormat="1" applyFont="1" applyBorder="1" applyProtection="1">
      <protection hidden="1"/>
    </xf>
    <xf numFmtId="6" fontId="12" fillId="0" borderId="10" xfId="0" applyNumberFormat="1" applyFont="1" applyBorder="1" applyProtection="1">
      <protection hidden="1"/>
    </xf>
    <xf numFmtId="6" fontId="31" fillId="0" borderId="10" xfId="0" applyNumberFormat="1" applyFont="1" applyFill="1" applyBorder="1" applyProtection="1">
      <protection hidden="1"/>
    </xf>
    <xf numFmtId="6" fontId="11" fillId="0" borderId="10" xfId="0" applyNumberFormat="1" applyFont="1" applyBorder="1" applyProtection="1">
      <protection locked="0" hidden="1"/>
    </xf>
    <xf numFmtId="9" fontId="7" fillId="0" borderId="11" xfId="0" applyNumberFormat="1" applyFont="1" applyBorder="1" applyProtection="1">
      <protection locked="0" hidden="1"/>
    </xf>
    <xf numFmtId="0" fontId="4" fillId="0" borderId="0" xfId="0" applyFont="1" applyAlignment="1" applyProtection="1">
      <alignment vertical="center"/>
      <protection locked="0" hidden="1"/>
    </xf>
    <xf numFmtId="0" fontId="8" fillId="0" borderId="0" xfId="0" applyFont="1" applyAlignment="1" applyProtection="1">
      <alignment vertical="center"/>
      <protection locked="0" hidden="1"/>
    </xf>
    <xf numFmtId="9" fontId="16" fillId="0" borderId="4" xfId="1" applyFont="1" applyFill="1" applyBorder="1" applyProtection="1">
      <protection hidden="1"/>
    </xf>
    <xf numFmtId="0" fontId="16" fillId="0" borderId="0" xfId="0" applyFont="1" applyFill="1" applyProtection="1">
      <protection hidden="1"/>
    </xf>
    <xf numFmtId="5" fontId="12" fillId="0" borderId="0" xfId="0" applyNumberFormat="1" applyFont="1" applyProtection="1">
      <protection locked="0" hidden="1"/>
    </xf>
    <xf numFmtId="7" fontId="12" fillId="0" borderId="0" xfId="0" applyNumberFormat="1" applyFont="1" applyProtection="1">
      <protection locked="0" hidden="1"/>
    </xf>
    <xf numFmtId="0" fontId="12" fillId="0" borderId="0" xfId="0" applyFont="1" applyFill="1" applyBorder="1" applyAlignment="1" applyProtection="1">
      <alignment vertical="center"/>
      <protection locked="0" hidden="1"/>
    </xf>
    <xf numFmtId="0" fontId="12" fillId="0" borderId="15" xfId="0" applyFont="1" applyFill="1" applyBorder="1" applyProtection="1">
      <protection locked="0" hidden="1"/>
    </xf>
    <xf numFmtId="0" fontId="18" fillId="0" borderId="16" xfId="0" applyFont="1" applyFill="1" applyBorder="1" applyProtection="1">
      <protection locked="0" hidden="1"/>
    </xf>
    <xf numFmtId="0" fontId="0" fillId="0" borderId="17" xfId="0" applyBorder="1" applyProtection="1">
      <protection locked="0" hidden="1"/>
    </xf>
    <xf numFmtId="0" fontId="18" fillId="0" borderId="0" xfId="0" applyFont="1" applyFill="1" applyBorder="1" applyProtection="1">
      <protection locked="0" hidden="1"/>
    </xf>
    <xf numFmtId="0" fontId="19" fillId="0" borderId="14" xfId="0" applyFont="1" applyFill="1" applyBorder="1" applyProtection="1">
      <protection locked="0" hidden="1"/>
    </xf>
    <xf numFmtId="42" fontId="12" fillId="0" borderId="0" xfId="0" applyNumberFormat="1" applyFont="1" applyBorder="1" applyProtection="1">
      <protection locked="0" hidden="1"/>
    </xf>
    <xf numFmtId="42" fontId="12" fillId="0" borderId="14" xfId="0" applyNumberFormat="1" applyFont="1" applyBorder="1" applyProtection="1">
      <protection locked="0" hidden="1"/>
    </xf>
    <xf numFmtId="44" fontId="12" fillId="0" borderId="14" xfId="0" applyNumberFormat="1" applyFont="1" applyBorder="1" applyAlignment="1" applyProtection="1">
      <alignment shrinkToFit="1"/>
      <protection locked="0" hidden="1"/>
    </xf>
    <xf numFmtId="0" fontId="12" fillId="0" borderId="14" xfId="0" applyFont="1" applyFill="1" applyBorder="1" applyAlignment="1" applyProtection="1">
      <alignment vertical="center"/>
      <protection locked="0" hidden="1"/>
    </xf>
    <xf numFmtId="0" fontId="0" fillId="0" borderId="14" xfId="0" applyBorder="1" applyProtection="1">
      <protection locked="0" hidden="1"/>
    </xf>
    <xf numFmtId="0" fontId="19" fillId="0" borderId="16" xfId="0" applyFont="1" applyFill="1" applyBorder="1" applyProtection="1">
      <protection locked="0" hidden="1"/>
    </xf>
    <xf numFmtId="0" fontId="12" fillId="0" borderId="15" xfId="0" applyFont="1" applyFill="1" applyBorder="1" applyAlignment="1" applyProtection="1">
      <alignment vertical="center"/>
      <protection locked="0" hidden="1"/>
    </xf>
    <xf numFmtId="0" fontId="17" fillId="0" borderId="0" xfId="0" applyFont="1" applyAlignment="1" applyProtection="1">
      <alignment horizontal="center"/>
      <protection locked="0" hidden="1"/>
    </xf>
    <xf numFmtId="0" fontId="10" fillId="0" borderId="0" xfId="0" applyFont="1" applyAlignment="1" applyProtection="1">
      <alignment horizontal="center"/>
      <protection locked="0" hidden="1"/>
    </xf>
    <xf numFmtId="0" fontId="33" fillId="0" borderId="0" xfId="0" applyFont="1" applyAlignment="1" applyProtection="1">
      <alignment horizontal="center"/>
      <protection locked="0" hidden="1"/>
    </xf>
    <xf numFmtId="0" fontId="25" fillId="3" borderId="0" xfId="2" applyFont="1" applyFill="1" applyAlignment="1" applyProtection="1">
      <alignment horizontal="center" vertical="center"/>
      <protection locked="0" hidden="1"/>
    </xf>
  </cellXfs>
  <cellStyles count="4">
    <cellStyle name="Currency 2" xfId="3"/>
    <cellStyle name="Normal" xfId="0" builtinId="0"/>
    <cellStyle name="Normal 2" xfId="2"/>
    <cellStyle name="Percent" xfId="1" builtinId="5"/>
  </cellStyles>
  <dxfs count="0"/>
  <tableStyles count="0" defaultTableStyle="TableStyleMedium2" defaultPivotStyle="PivotStyleLight16"/>
  <colors>
    <mruColors>
      <color rgb="FFF6F6F6"/>
      <color rgb="FF05BF24"/>
      <color rgb="FF06D829"/>
      <color rgb="FF387C40"/>
      <color rgb="FF469C50"/>
      <color rgb="FF582323"/>
      <color rgb="FFC4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20" fmlaLink="$L$18" horiz="1" max="30" min="10" page="10" val="20"/>
</file>

<file path=xl/ctrlProps/ctrlProp2.xml><?xml version="1.0" encoding="utf-8"?>
<formControlPr xmlns="http://schemas.microsoft.com/office/spreadsheetml/2009/9/main" objectType="Scroll" dx="20" fmlaLink="$L$12" horiz="1" max="100" min="1" page="10" val="45"/>
</file>

<file path=xl/ctrlProps/ctrlProp3.xml><?xml version="1.0" encoding="utf-8"?>
<formControlPr xmlns="http://schemas.microsoft.com/office/spreadsheetml/2009/9/main" objectType="Scroll" dx="20" fmlaLink="$L$15" horiz="1" max="40" page="10" val="10"/>
</file>

<file path=xl/ctrlProps/ctrlProp4.xml><?xml version="1.0" encoding="utf-8"?>
<formControlPr xmlns="http://schemas.microsoft.com/office/spreadsheetml/2009/9/main" objectType="Scroll" dx="20" fmlaLink="$L$13" horiz="1" inc="5" max="100" page="0" val="20"/>
</file>

<file path=xl/ctrlProps/ctrlProp5.xml><?xml version="1.0" encoding="utf-8"?>
<formControlPr xmlns="http://schemas.microsoft.com/office/spreadsheetml/2009/9/main" objectType="Scroll" dx="20" fmlaLink="$L$17" horiz="1" max="36" min="16" page="10" val="20"/>
</file>

<file path=xl/ctrlProps/ctrlProp6.xml><?xml version="1.0" encoding="utf-8"?>
<formControlPr xmlns="http://schemas.microsoft.com/office/spreadsheetml/2009/9/main" objectType="Scroll" dx="20" fmlaLink="$L$10" horiz="1" max="50" min="10" page="10" val="30"/>
</file>

<file path=xl/ctrlProps/ctrlProp7.xml><?xml version="1.0" encoding="utf-8"?>
<formControlPr xmlns="http://schemas.microsoft.com/office/spreadsheetml/2009/9/main" objectType="Scroll" dx="26" fmlaLink="$L$14" horiz="1" max="20" page="10" val="0"/>
</file>

<file path=xl/ctrlProps/ctrlProp8.xml><?xml version="1.0" encoding="utf-8"?>
<formControlPr xmlns="http://schemas.microsoft.com/office/spreadsheetml/2009/9/main" objectType="Scroll" dx="20" fmlaLink="$L$33" horiz="1" max="50" page="10" val="19"/>
</file>

<file path=xl/ctrlProps/ctrlProp9.xml><?xml version="1.0" encoding="utf-8"?>
<formControlPr xmlns="http://schemas.microsoft.com/office/spreadsheetml/2009/9/main" objectType="Scroll" dx="20" fmlaLink="$L$40" horiz="1" inc="5" max="50" page="10" val="35"/>
</file>

<file path=xl/drawings/_rels/drawing1.xml.rels><?xml version="1.0" encoding="UTF-8" standalone="yes"?>
<Relationships xmlns="http://schemas.openxmlformats.org/package/2006/relationships"><Relationship Id="rId1" Type="http://schemas.openxmlformats.org/officeDocument/2006/relationships/hyperlink" Target="https://www.irs.gov/publications/p946/ch02.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9</xdr:col>
          <xdr:colOff>581025</xdr:colOff>
          <xdr:row>17</xdr:row>
          <xdr:rowOff>166688</xdr:rowOff>
        </xdr:to>
        <xdr:sp macro="" textlink="">
          <xdr:nvSpPr>
            <xdr:cNvPr id="2049" name="Scroll Bar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9</xdr:col>
          <xdr:colOff>585788</xdr:colOff>
          <xdr:row>11</xdr:row>
          <xdr:rowOff>176213</xdr:rowOff>
        </xdr:to>
        <xdr:sp macro="" textlink="">
          <xdr:nvSpPr>
            <xdr:cNvPr id="2050" name="Scroll Bar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23813</xdr:rowOff>
        </xdr:from>
        <xdr:to>
          <xdr:col>9</xdr:col>
          <xdr:colOff>581025</xdr:colOff>
          <xdr:row>14</xdr:row>
          <xdr:rowOff>176213</xdr:rowOff>
        </xdr:to>
        <xdr:sp macro="" textlink="">
          <xdr:nvSpPr>
            <xdr:cNvPr id="2051" name="Scroll Bar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28575</xdr:rowOff>
        </xdr:from>
        <xdr:to>
          <xdr:col>9</xdr:col>
          <xdr:colOff>585788</xdr:colOff>
          <xdr:row>12</xdr:row>
          <xdr:rowOff>166688</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601980</xdr:colOff>
      <xdr:row>33</xdr:row>
      <xdr:rowOff>89535</xdr:rowOff>
    </xdr:from>
    <xdr:to>
      <xdr:col>10</xdr:col>
      <xdr:colOff>15240</xdr:colOff>
      <xdr:row>33</xdr:row>
      <xdr:rowOff>89535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601980" y="5941695"/>
          <a:ext cx="5821680" cy="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38100</xdr:colOff>
          <xdr:row>16</xdr:row>
          <xdr:rowOff>28575</xdr:rowOff>
        </xdr:from>
        <xdr:to>
          <xdr:col>9</xdr:col>
          <xdr:colOff>581025</xdr:colOff>
          <xdr:row>16</xdr:row>
          <xdr:rowOff>166688</xdr:rowOff>
        </xdr:to>
        <xdr:sp macro="" textlink="">
          <xdr:nvSpPr>
            <xdr:cNvPr id="2056" name="Scroll Bar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23813</xdr:rowOff>
        </xdr:from>
        <xdr:to>
          <xdr:col>9</xdr:col>
          <xdr:colOff>595313</xdr:colOff>
          <xdr:row>9</xdr:row>
          <xdr:rowOff>166688</xdr:rowOff>
        </xdr:to>
        <xdr:sp macro="" textlink="">
          <xdr:nvSpPr>
            <xdr:cNvPr id="2058" name="Scroll Bar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15239</xdr:colOff>
      <xdr:row>55</xdr:row>
      <xdr:rowOff>39194</xdr:rowOff>
    </xdr:from>
    <xdr:to>
      <xdr:col>7</xdr:col>
      <xdr:colOff>0</xdr:colOff>
      <xdr:row>62</xdr:row>
      <xdr:rowOff>83820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24839" y="9183194"/>
          <a:ext cx="3947161" cy="1324786"/>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u="none" strike="noStrike">
              <a:solidFill>
                <a:schemeClr val="dk1"/>
              </a:solidFill>
              <a:effectLst/>
              <a:latin typeface="+mn-lt"/>
              <a:ea typeface="+mn-ea"/>
              <a:cs typeface="+mn-cs"/>
            </a:rPr>
            <a:t>Finance - </a:t>
          </a:r>
          <a:r>
            <a:rPr lang="en-US" sz="900" b="0" i="0" u="none" strike="noStrike">
              <a:solidFill>
                <a:schemeClr val="dk1"/>
              </a:solidFill>
              <a:effectLst/>
              <a:latin typeface="+mn-lt"/>
              <a:ea typeface="+mn-ea"/>
              <a:cs typeface="+mn-cs"/>
            </a:rPr>
            <a:t>This is the interest expense on a loan for the plane’s Cash Price.  Even if you pay cash for your airplane instead of borrowing money, inclusion of a financing cost in the Cost to Own is still appropriate to reflect the estimated "Opportunity Cost" of any monies paid down (i.e. the amount you might have earned, if you would have used or invested the amount paid elsewhere instead of purchasing your plane).  For this model, we applied the rate of the Loan </a:t>
          </a:r>
          <a:r>
            <a:rPr lang="en-US" sz="900" b="0" i="0" u="none" strike="noStrike" baseline="0">
              <a:solidFill>
                <a:schemeClr val="dk1"/>
              </a:solidFill>
              <a:effectLst/>
              <a:latin typeface="+mn-lt"/>
              <a:ea typeface="+mn-ea"/>
              <a:cs typeface="+mn-cs"/>
            </a:rPr>
            <a:t>as the rate for the </a:t>
          </a:r>
          <a:r>
            <a:rPr lang="en-US" sz="900" b="0" i="0" u="none" strike="noStrike">
              <a:solidFill>
                <a:schemeClr val="dk1"/>
              </a:solidFill>
              <a:effectLst/>
              <a:latin typeface="+mn-lt"/>
              <a:ea typeface="+mn-ea"/>
              <a:cs typeface="+mn-cs"/>
            </a:rPr>
            <a:t>Opportunity Cost</a:t>
          </a:r>
          <a:r>
            <a:rPr lang="en-US" sz="900" b="0" i="0" u="none" strike="noStrike" baseline="0">
              <a:solidFill>
                <a:schemeClr val="dk1"/>
              </a:solidFill>
              <a:effectLst/>
              <a:latin typeface="+mn-lt"/>
              <a:ea typeface="+mn-ea"/>
              <a:cs typeface="+mn-cs"/>
            </a:rPr>
            <a:t>.  Then, the down payment does not change financing costs, but does affect the tax deductible interest.</a:t>
          </a:r>
          <a:br>
            <a:rPr lang="en-US"/>
          </a:br>
          <a:br>
            <a:rPr lang="en-US"/>
          </a:br>
          <a:endParaRPr lang="en-US" sz="1100"/>
        </a:p>
      </xdr:txBody>
    </xdr:sp>
    <xdr:clientData/>
  </xdr:twoCellAnchor>
  <xdr:twoCellAnchor>
    <xdr:from>
      <xdr:col>1</xdr:col>
      <xdr:colOff>17929</xdr:colOff>
      <xdr:row>62</xdr:row>
      <xdr:rowOff>171673</xdr:rowOff>
    </xdr:from>
    <xdr:to>
      <xdr:col>7</xdr:col>
      <xdr:colOff>0</xdr:colOff>
      <xdr:row>65</xdr:row>
      <xdr:rowOff>10310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627529" y="10595833"/>
          <a:ext cx="3944471" cy="387277"/>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tx1"/>
              </a:solidFill>
            </a:rPr>
            <a:t>Operations</a:t>
          </a:r>
          <a:r>
            <a:rPr lang="en-US" sz="900" b="1" baseline="0">
              <a:solidFill>
                <a:schemeClr val="tx1"/>
              </a:solidFill>
            </a:rPr>
            <a:t> - </a:t>
          </a:r>
          <a:r>
            <a:rPr lang="en-US" sz="900" b="1">
              <a:solidFill>
                <a:schemeClr val="tx1"/>
              </a:solidFill>
            </a:rPr>
            <a:t>Fuel &amp; Oil</a:t>
          </a:r>
          <a:r>
            <a:rPr lang="en-US" sz="900" b="0">
              <a:solidFill>
                <a:schemeClr val="tx1"/>
              </a:solidFill>
            </a:rPr>
            <a:t>:</a:t>
          </a:r>
          <a:r>
            <a:rPr lang="en-US" sz="900" b="0" baseline="0">
              <a:solidFill>
                <a:schemeClr val="tx1"/>
              </a:solidFill>
            </a:rPr>
            <a:t> </a:t>
          </a:r>
          <a:r>
            <a:rPr lang="en-US" sz="900">
              <a:solidFill>
                <a:schemeClr val="tx1"/>
              </a:solidFill>
            </a:rPr>
            <a:t>Fuel</a:t>
          </a:r>
          <a:r>
            <a:rPr lang="en-US" sz="900" baseline="0">
              <a:solidFill>
                <a:schemeClr val="tx1"/>
              </a:solidFill>
            </a:rPr>
            <a:t> </a:t>
          </a:r>
          <a:r>
            <a:rPr lang="en-US" sz="900">
              <a:solidFill>
                <a:schemeClr val="tx1"/>
              </a:solidFill>
            </a:rPr>
            <a:t>use  est. 9 GPH. </a:t>
          </a:r>
          <a:r>
            <a:rPr lang="en-US" sz="900" b="1">
              <a:solidFill>
                <a:schemeClr val="tx1"/>
              </a:solidFill>
              <a:effectLst/>
              <a:latin typeface="+mn-lt"/>
              <a:ea typeface="+mn-ea"/>
              <a:cs typeface="+mn-cs"/>
            </a:rPr>
            <a:t>Maintenance &amp; Repair: </a:t>
          </a:r>
          <a:r>
            <a:rPr lang="en-US" sz="900" b="0">
              <a:solidFill>
                <a:schemeClr val="tx1"/>
              </a:solidFill>
              <a:effectLst/>
              <a:latin typeface="+mn-lt"/>
              <a:ea typeface="+mn-ea"/>
              <a:cs typeface="+mn-cs"/>
            </a:rPr>
            <a:t>est. </a:t>
          </a:r>
          <a:r>
            <a:rPr lang="en-US" sz="900">
              <a:solidFill>
                <a:schemeClr val="tx1"/>
              </a:solidFill>
              <a:effectLst/>
              <a:latin typeface="+mn-lt"/>
              <a:ea typeface="+mn-ea"/>
              <a:cs typeface="+mn-cs"/>
            </a:rPr>
            <a:t>0.18 shop labor hrs. per flight hour.   Parts Costs estimated at 30% of Labor Costs.</a:t>
          </a:r>
          <a:endParaRPr lang="en-US" sz="900">
            <a:solidFill>
              <a:schemeClr val="tx1"/>
            </a:solidFill>
            <a:effectLst/>
          </a:endParaRPr>
        </a:p>
        <a:p>
          <a:endParaRPr lang="en-US" sz="1000"/>
        </a:p>
        <a:p>
          <a:endParaRPr lang="en-US" sz="1100"/>
        </a:p>
      </xdr:txBody>
    </xdr:sp>
    <xdr:clientData/>
  </xdr:twoCellAnchor>
  <xdr:twoCellAnchor>
    <xdr:from>
      <xdr:col>1</xdr:col>
      <xdr:colOff>8964</xdr:colOff>
      <xdr:row>65</xdr:row>
      <xdr:rowOff>99060</xdr:rowOff>
    </xdr:from>
    <xdr:to>
      <xdr:col>7</xdr:col>
      <xdr:colOff>0</xdr:colOff>
      <xdr:row>73</xdr:row>
      <xdr:rowOff>71438</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42377" y="10957560"/>
          <a:ext cx="4110598" cy="1420178"/>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Depreciation and Replacement Reserves:</a:t>
          </a:r>
          <a:r>
            <a:rPr lang="en-US" sz="900" b="1" baseline="0"/>
            <a:t>  </a:t>
          </a:r>
          <a:r>
            <a:rPr lang="en-US" sz="900"/>
            <a:t>Plan to set aside money for replacement or overhaul, in a so-called depreciation or restoration</a:t>
          </a:r>
          <a:r>
            <a:rPr lang="en-US" sz="900" baseline="0"/>
            <a:t> </a:t>
          </a:r>
          <a:r>
            <a:rPr lang="en-US" sz="900"/>
            <a:t>fund. Depreciation is the difference between the new purchase price and estimated trade-in value.   For exaple, Aircraft “blue book” data show the price of a 5-year old C-172S, declined on average 5.6% per year from its original new price while the plane had 1,100  hours of use.  From 'blue book" data, predicted depreciation is calculated. Some owners plan for engine reserves only, thereby lowering the Depreciation component to as low as  $13/hr.  Left out were</a:t>
          </a:r>
          <a:r>
            <a:rPr lang="en-US" sz="900" baseline="0"/>
            <a:t> </a:t>
          </a:r>
          <a:r>
            <a:rPr lang="en-US" sz="900"/>
            <a:t>reserves for replacement new price inflation which averaged 12.9% per yr. for C-172 aircraft (between 2013 and 2017).</a:t>
          </a:r>
        </a:p>
      </xdr:txBody>
    </xdr:sp>
    <xdr:clientData/>
  </xdr:twoCellAnchor>
  <xdr:twoCellAnchor>
    <xdr:from>
      <xdr:col>1</xdr:col>
      <xdr:colOff>4034</xdr:colOff>
      <xdr:row>73</xdr:row>
      <xdr:rowOff>153686</xdr:rowOff>
    </xdr:from>
    <xdr:to>
      <xdr:col>7</xdr:col>
      <xdr:colOff>7620</xdr:colOff>
      <xdr:row>76</xdr:row>
      <xdr:rowOff>143833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37447" y="12459986"/>
          <a:ext cx="4123148" cy="533072"/>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tx1"/>
              </a:solidFill>
            </a:rPr>
            <a:t>Sales/Use Taxes</a:t>
          </a:r>
          <a:r>
            <a:rPr lang="en-US" sz="900" b="1" baseline="0">
              <a:solidFill>
                <a:schemeClr val="tx1"/>
              </a:solidFill>
            </a:rPr>
            <a:t> -</a:t>
          </a:r>
          <a:r>
            <a:rPr lang="en-US" sz="900" b="1">
              <a:solidFill>
                <a:schemeClr val="tx1"/>
              </a:solidFill>
            </a:rPr>
            <a:t> </a:t>
          </a:r>
          <a:r>
            <a:rPr lang="en-US" sz="900">
              <a:solidFill>
                <a:schemeClr val="tx1"/>
              </a:solidFill>
            </a:rPr>
            <a:t>With some  planning, sales taxes may be avoided</a:t>
          </a:r>
          <a:r>
            <a:rPr lang="en-US" sz="900" baseline="0">
              <a:solidFill>
                <a:schemeClr val="tx1"/>
              </a:solidFill>
            </a:rPr>
            <a:t> </a:t>
          </a:r>
          <a:r>
            <a:rPr lang="en-US" sz="900">
              <a:solidFill>
                <a:schemeClr val="tx1"/>
              </a:solidFill>
            </a:rPr>
            <a:t>at the time  of purchase (CA.). </a:t>
          </a:r>
          <a:r>
            <a:rPr lang="en-US" sz="900" b="1">
              <a:solidFill>
                <a:schemeClr val="tx1"/>
              </a:solidFill>
              <a:latin typeface="+mn-lt"/>
              <a:ea typeface="+mn-ea"/>
              <a:cs typeface="+mn-cs"/>
            </a:rPr>
            <a:t>Property Taxes </a:t>
          </a:r>
          <a:r>
            <a:rPr lang="en-US" sz="900" b="1" baseline="0">
              <a:solidFill>
                <a:schemeClr val="tx1"/>
              </a:solidFill>
              <a:latin typeface="+mn-lt"/>
              <a:ea typeface="+mn-ea"/>
              <a:cs typeface="+mn-cs"/>
            </a:rPr>
            <a:t> - </a:t>
          </a:r>
          <a:r>
            <a:rPr lang="en-US" sz="900" b="0">
              <a:solidFill>
                <a:schemeClr val="tx1"/>
              </a:solidFill>
              <a:latin typeface="+mn-lt"/>
              <a:ea typeface="+mn-ea"/>
              <a:cs typeface="+mn-cs"/>
            </a:rPr>
            <a:t>1.10% of the aircraft market at KPAO airport.       </a:t>
          </a:r>
        </a:p>
        <a:p>
          <a:endParaRPr lang="en-US" sz="900"/>
        </a:p>
      </xdr:txBody>
    </xdr:sp>
    <xdr:clientData/>
  </xdr:twoCellAnchor>
  <xdr:twoCellAnchor>
    <xdr:from>
      <xdr:col>0</xdr:col>
      <xdr:colOff>7620</xdr:colOff>
      <xdr:row>4</xdr:row>
      <xdr:rowOff>7620</xdr:rowOff>
    </xdr:from>
    <xdr:to>
      <xdr:col>11</xdr:col>
      <xdr:colOff>83820</xdr:colOff>
      <xdr:row>4</xdr:row>
      <xdr:rowOff>7620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7620" y="739140"/>
          <a:ext cx="6964680" cy="0"/>
        </a:xfrm>
        <a:prstGeom prst="line">
          <a:avLst/>
        </a:prstGeom>
        <a:ln w="15875">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22860</xdr:colOff>
      <xdr:row>52</xdr:row>
      <xdr:rowOff>15240</xdr:rowOff>
    </xdr:from>
    <xdr:to>
      <xdr:col>7</xdr:col>
      <xdr:colOff>15240</xdr:colOff>
      <xdr:row>54</xdr:row>
      <xdr:rowOff>137160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2460" y="8610600"/>
          <a:ext cx="3954780" cy="487680"/>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Cost Components</a:t>
          </a:r>
          <a:r>
            <a:rPr lang="en-US" sz="900" b="1" baseline="0"/>
            <a:t>  </a:t>
          </a:r>
          <a:r>
            <a:rPr lang="en-US" sz="900" b="0" baseline="0"/>
            <a:t>considered are</a:t>
          </a:r>
          <a:r>
            <a:rPr lang="en-US" sz="900" b="0" i="0" u="none" strike="noStrike">
              <a:solidFill>
                <a:schemeClr val="dk1"/>
              </a:solidFill>
              <a:effectLst/>
              <a:latin typeface="+mn-lt"/>
              <a:ea typeface="+mn-ea"/>
              <a:cs typeface="+mn-cs"/>
            </a:rPr>
            <a:t> Finance, Fuel &amp; Oil, Maintenance &amp; Repair, Electronic Services, Insurance, Depreciation/Reserves, Parking, Prop. Taxes, Admin Fees.</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13</xdr:row>
          <xdr:rowOff>23813</xdr:rowOff>
        </xdr:from>
        <xdr:to>
          <xdr:col>9</xdr:col>
          <xdr:colOff>581025</xdr:colOff>
          <xdr:row>13</xdr:row>
          <xdr:rowOff>176213</xdr:rowOff>
        </xdr:to>
        <xdr:sp macro="" textlink="">
          <xdr:nvSpPr>
            <xdr:cNvPr id="2060" name="Scroll Bar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28575</xdr:rowOff>
        </xdr:from>
        <xdr:to>
          <xdr:col>9</xdr:col>
          <xdr:colOff>581025</xdr:colOff>
          <xdr:row>32</xdr:row>
          <xdr:rowOff>176213</xdr:rowOff>
        </xdr:to>
        <xdr:sp macro="" textlink="">
          <xdr:nvSpPr>
            <xdr:cNvPr id="2070" name="Scroll Bar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601980</xdr:colOff>
      <xdr:row>31</xdr:row>
      <xdr:rowOff>89535</xdr:rowOff>
    </xdr:from>
    <xdr:to>
      <xdr:col>10</xdr:col>
      <xdr:colOff>7620</xdr:colOff>
      <xdr:row>31</xdr:row>
      <xdr:rowOff>89535</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flipV="1">
          <a:off x="243840" y="5652135"/>
          <a:ext cx="5341620" cy="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36</xdr:row>
      <xdr:rowOff>78676</xdr:rowOff>
    </xdr:from>
    <xdr:to>
      <xdr:col>10</xdr:col>
      <xdr:colOff>7620</xdr:colOff>
      <xdr:row>36</xdr:row>
      <xdr:rowOff>93916</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flipV="1">
          <a:off x="601980" y="6593776"/>
          <a:ext cx="6268403" cy="1524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28575</xdr:colOff>
          <xdr:row>39</xdr:row>
          <xdr:rowOff>23813</xdr:rowOff>
        </xdr:from>
        <xdr:to>
          <xdr:col>9</xdr:col>
          <xdr:colOff>571500</xdr:colOff>
          <xdr:row>39</xdr:row>
          <xdr:rowOff>161925</xdr:rowOff>
        </xdr:to>
        <xdr:sp macro="" textlink="">
          <xdr:nvSpPr>
            <xdr:cNvPr id="2072" name="Scroll Bar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601980</xdr:colOff>
      <xdr:row>49</xdr:row>
      <xdr:rowOff>11420</xdr:rowOff>
    </xdr:from>
    <xdr:to>
      <xdr:col>10</xdr:col>
      <xdr:colOff>7620</xdr:colOff>
      <xdr:row>49</xdr:row>
      <xdr:rowOff>26660</xdr:rowOff>
    </xdr:to>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flipV="1">
          <a:off x="601980" y="8769658"/>
          <a:ext cx="6268403" cy="1524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51</xdr:row>
      <xdr:rowOff>108927</xdr:rowOff>
    </xdr:from>
    <xdr:to>
      <xdr:col>10</xdr:col>
      <xdr:colOff>7620</xdr:colOff>
      <xdr:row>51</xdr:row>
      <xdr:rowOff>124167</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43840" y="8414727"/>
          <a:ext cx="5341620" cy="1524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9529</xdr:colOff>
      <xdr:row>77</xdr:row>
      <xdr:rowOff>47624</xdr:rowOff>
    </xdr:from>
    <xdr:to>
      <xdr:col>7</xdr:col>
      <xdr:colOff>23813</xdr:colOff>
      <xdr:row>81</xdr:row>
      <xdr:rowOff>133351</xdr:rowOff>
    </xdr:to>
    <xdr:sp macro="" textlink="">
      <xdr:nvSpPr>
        <xdr:cNvPr id="24" name="TextBox 23">
          <a:hlinkClick xmlns:r="http://schemas.openxmlformats.org/officeDocument/2006/relationships" r:id="rId1"/>
          <a:extLst>
            <a:ext uri="{FF2B5EF4-FFF2-40B4-BE49-F238E27FC236}">
              <a16:creationId xmlns:a16="http://schemas.microsoft.com/office/drawing/2014/main" id="{00000000-0008-0000-0000-000018000000}"/>
            </a:ext>
          </a:extLst>
        </xdr:cNvPr>
        <xdr:cNvSpPr txBox="1"/>
      </xdr:nvSpPr>
      <xdr:spPr>
        <a:xfrm>
          <a:off x="642942" y="12715874"/>
          <a:ext cx="4133846" cy="80962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tx1"/>
              </a:solidFill>
              <a:latin typeface="+mn-lt"/>
              <a:ea typeface="+mn-ea"/>
              <a:cs typeface="+mn-cs"/>
            </a:rPr>
            <a:t>Tax effects</a:t>
          </a:r>
          <a:r>
            <a:rPr lang="en-US" sz="900" b="1" baseline="0">
              <a:solidFill>
                <a:schemeClr val="tx1"/>
              </a:solidFill>
              <a:latin typeface="+mn-lt"/>
              <a:ea typeface="+mn-ea"/>
              <a:cs typeface="+mn-cs"/>
            </a:rPr>
            <a:t> </a:t>
          </a:r>
          <a:r>
            <a:rPr lang="en-US" sz="900" b="0">
              <a:solidFill>
                <a:schemeClr val="tx1"/>
              </a:solidFill>
              <a:latin typeface="+mn-lt"/>
              <a:ea typeface="+mn-ea"/>
              <a:cs typeface="+mn-cs"/>
            </a:rPr>
            <a:t>- </a:t>
          </a:r>
          <a:r>
            <a:rPr lang="en-US" sz="900">
              <a:solidFill>
                <a:schemeClr val="dk1"/>
              </a:solidFill>
              <a:latin typeface="+mn-lt"/>
              <a:ea typeface="+mn-ea"/>
              <a:cs typeface="+mn-cs"/>
            </a:rPr>
            <a:t>In the above spreadsheet tax effect section, a favorable effect on income tax is illustrated, through the deduction</a:t>
          </a:r>
          <a:r>
            <a:rPr lang="en-US" sz="900" baseline="0">
              <a:solidFill>
                <a:schemeClr val="dk1"/>
              </a:solidFill>
              <a:latin typeface="+mn-lt"/>
              <a:ea typeface="+mn-ea"/>
              <a:cs typeface="+mn-cs"/>
            </a:rPr>
            <a:t> of</a:t>
          </a:r>
          <a:r>
            <a:rPr lang="en-US" sz="900">
              <a:solidFill>
                <a:schemeClr val="dk1"/>
              </a:solidFill>
              <a:latin typeface="+mn-lt"/>
              <a:ea typeface="+mn-ea"/>
              <a:cs typeface="+mn-cs"/>
            </a:rPr>
            <a:t> annual interest, operating expenses, and basic 5-Yr Straight line tax depreciation, for the first year only. </a:t>
          </a:r>
          <a:br>
            <a:rPr lang="en-US" sz="900">
              <a:solidFill>
                <a:schemeClr val="dk1"/>
              </a:solidFill>
              <a:latin typeface="+mn-lt"/>
              <a:ea typeface="+mn-ea"/>
              <a:cs typeface="+mn-cs"/>
            </a:rPr>
          </a:br>
          <a:r>
            <a:rPr lang="en-US" sz="900">
              <a:solidFill>
                <a:schemeClr val="dk1"/>
              </a:solidFill>
              <a:latin typeface="+mn-lt"/>
              <a:ea typeface="+mn-ea"/>
              <a:cs typeface="+mn-cs"/>
            </a:rPr>
            <a:t>*) Depending on your tax situation </a:t>
          </a:r>
          <a:r>
            <a:rPr lang="en-US" sz="900" baseline="0">
              <a:solidFill>
                <a:schemeClr val="dk1"/>
              </a:solidFill>
              <a:latin typeface="+mn-lt"/>
              <a:ea typeface="+mn-ea"/>
              <a:cs typeface="+mn-cs"/>
            </a:rPr>
            <a:t>added </a:t>
          </a:r>
          <a:r>
            <a:rPr lang="en-US" sz="900">
              <a:solidFill>
                <a:schemeClr val="dk1"/>
              </a:solidFill>
              <a:latin typeface="+mn-lt"/>
              <a:ea typeface="+mn-ea"/>
              <a:cs typeface="+mn-cs"/>
            </a:rPr>
            <a:t>Bonus Depreciation can be used, to even further improve your tax benefits. </a:t>
          </a:r>
          <a:r>
            <a:rPr lang="en-US" sz="900" u="sng">
              <a:solidFill>
                <a:schemeClr val="dk1"/>
              </a:solidFill>
              <a:latin typeface="+mn-lt"/>
              <a:ea typeface="+mn-ea"/>
              <a:cs typeface="+mn-cs"/>
            </a:rPr>
            <a:t>IRS</a:t>
          </a:r>
          <a:r>
            <a:rPr lang="en-US" sz="900" u="sng" baseline="0">
              <a:solidFill>
                <a:schemeClr val="dk1"/>
              </a:solidFill>
              <a:latin typeface="+mn-lt"/>
              <a:ea typeface="+mn-ea"/>
              <a:cs typeface="+mn-cs"/>
            </a:rPr>
            <a:t> Code Section 179</a:t>
          </a:r>
          <a:endParaRPr lang="en-US" sz="900" u="sng">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V84"/>
  <sheetViews>
    <sheetView showGridLines="0" tabSelected="1" topLeftCell="A62" workbookViewId="0">
      <selection activeCell="I26" activeCellId="4" sqref="J22 J23 I24 I25 I26"/>
    </sheetView>
  </sheetViews>
  <sheetFormatPr defaultColWidth="8.86328125" defaultRowHeight="14.45" customHeight="1" x14ac:dyDescent="0.45"/>
  <cols>
    <col min="1" max="4" width="8.86328125" style="6"/>
    <col min="5" max="5" width="13.33203125" style="6" customWidth="1"/>
    <col min="6" max="6" width="8.86328125" style="6"/>
    <col min="7" max="8" width="8.86328125" style="6" customWidth="1"/>
    <col min="9" max="9" width="11.796875" style="6" customWidth="1"/>
    <col min="10" max="10" width="8.86328125" style="6" customWidth="1"/>
    <col min="11" max="11" width="8.86328125" style="6"/>
    <col min="12" max="12" width="9.33203125" style="6" customWidth="1"/>
    <col min="13" max="16384" width="8.86328125" style="6"/>
  </cols>
  <sheetData>
    <row r="1" spans="1:18" ht="14.45" customHeight="1" x14ac:dyDescent="0.75">
      <c r="A1" s="65"/>
      <c r="B1" s="65"/>
      <c r="C1" s="65"/>
      <c r="D1" s="65"/>
      <c r="E1" s="65"/>
      <c r="F1" s="65"/>
      <c r="G1" s="65"/>
      <c r="H1" s="65"/>
      <c r="I1" s="65"/>
      <c r="J1" s="65"/>
      <c r="K1" s="65"/>
      <c r="L1" s="5"/>
    </row>
    <row r="2" spans="1:18" ht="14.45" customHeight="1" x14ac:dyDescent="0.75">
      <c r="A2" s="65"/>
      <c r="B2" s="93" t="s">
        <v>28</v>
      </c>
      <c r="C2" s="93"/>
      <c r="D2" s="93"/>
      <c r="E2" s="93"/>
      <c r="F2" s="93"/>
      <c r="G2" s="93"/>
      <c r="H2" s="93"/>
      <c r="I2" s="93"/>
      <c r="J2" s="93"/>
      <c r="K2" s="65"/>
      <c r="L2" s="5"/>
    </row>
    <row r="3" spans="1:18" ht="14.45" customHeight="1" x14ac:dyDescent="0.45">
      <c r="A3" s="65"/>
      <c r="B3" s="93"/>
      <c r="C3" s="93"/>
      <c r="D3" s="93"/>
      <c r="E3" s="93"/>
      <c r="F3" s="93"/>
      <c r="G3" s="93"/>
      <c r="H3" s="93"/>
      <c r="I3" s="93"/>
      <c r="J3" s="93"/>
      <c r="K3" s="65"/>
      <c r="L3" s="7" t="s">
        <v>13</v>
      </c>
    </row>
    <row r="4" spans="1:18" ht="14.45" customHeight="1" x14ac:dyDescent="0.45">
      <c r="A4" s="65"/>
      <c r="B4" s="65"/>
      <c r="C4" s="65"/>
      <c r="D4" s="65"/>
      <c r="E4" s="65"/>
      <c r="F4" s="65"/>
      <c r="G4" s="65"/>
      <c r="H4" s="65"/>
      <c r="I4" s="65"/>
      <c r="J4" s="65"/>
      <c r="K4" s="65"/>
      <c r="L4" s="8"/>
    </row>
    <row r="5" spans="1:18" ht="14.45" customHeight="1" x14ac:dyDescent="0.45">
      <c r="A5" s="9"/>
      <c r="C5" s="10"/>
      <c r="D5" s="10"/>
      <c r="E5" s="10"/>
      <c r="F5" s="10"/>
      <c r="G5" s="10"/>
      <c r="H5" s="10"/>
      <c r="I5" s="10"/>
      <c r="J5" s="10"/>
      <c r="K5" s="10"/>
      <c r="L5" s="8"/>
    </row>
    <row r="6" spans="1:18" ht="14.45" customHeight="1" x14ac:dyDescent="0.45">
      <c r="B6" s="91" t="s">
        <v>25</v>
      </c>
      <c r="C6" s="91"/>
      <c r="D6" s="91"/>
      <c r="E6" s="91"/>
      <c r="F6" s="91"/>
      <c r="G6" s="91"/>
      <c r="H6" s="91"/>
      <c r="I6" s="91"/>
      <c r="J6" s="91"/>
      <c r="K6" s="91"/>
      <c r="L6" s="8"/>
    </row>
    <row r="7" spans="1:18" ht="14.45" customHeight="1" x14ac:dyDescent="0.45">
      <c r="B7" s="92" t="s">
        <v>29</v>
      </c>
      <c r="C7" s="92"/>
      <c r="D7" s="92"/>
      <c r="E7" s="92"/>
      <c r="F7" s="92"/>
      <c r="G7" s="92"/>
      <c r="H7" s="92"/>
      <c r="I7" s="92"/>
      <c r="J7" s="92"/>
      <c r="K7" s="92"/>
      <c r="L7" s="8"/>
    </row>
    <row r="8" spans="1:18" ht="14.45" customHeight="1" x14ac:dyDescent="0.45">
      <c r="E8" s="11"/>
      <c r="H8" s="90" t="s">
        <v>17</v>
      </c>
      <c r="I8" s="90"/>
      <c r="J8" s="90"/>
      <c r="L8" s="8"/>
    </row>
    <row r="9" spans="1:18" ht="14.45" customHeight="1" thickBot="1" x14ac:dyDescent="0.5">
      <c r="E9" s="11"/>
      <c r="H9" s="12" t="s">
        <v>7</v>
      </c>
      <c r="J9" s="12" t="s">
        <v>18</v>
      </c>
      <c r="L9" s="8"/>
    </row>
    <row r="10" spans="1:18" ht="14.45" customHeight="1" thickBot="1" x14ac:dyDescent="0.5">
      <c r="B10" s="13" t="s">
        <v>15</v>
      </c>
      <c r="C10" s="14"/>
      <c r="D10" s="15"/>
      <c r="E10" s="1">
        <f>L10*10000</f>
        <v>300000</v>
      </c>
      <c r="H10" s="16"/>
      <c r="I10" s="17"/>
      <c r="J10" s="17"/>
      <c r="K10" s="18"/>
      <c r="L10" s="19">
        <v>30</v>
      </c>
      <c r="R10" s="18"/>
    </row>
    <row r="11" spans="1:18" ht="14.45" customHeight="1" thickBot="1" x14ac:dyDescent="0.5">
      <c r="B11" s="20"/>
      <c r="C11" s="20"/>
      <c r="D11" s="20"/>
      <c r="E11" s="21"/>
      <c r="H11" s="12" t="s">
        <v>8</v>
      </c>
      <c r="J11" s="22" t="s">
        <v>9</v>
      </c>
      <c r="K11" s="23"/>
    </row>
    <row r="12" spans="1:18" ht="14.45" customHeight="1" thickBot="1" x14ac:dyDescent="0.5">
      <c r="B12" s="13" t="s">
        <v>5</v>
      </c>
      <c r="C12" s="14"/>
      <c r="D12" s="15"/>
      <c r="E12" s="2">
        <f>L12*1</f>
        <v>45</v>
      </c>
      <c r="H12" s="16"/>
      <c r="I12" s="17"/>
      <c r="J12" s="17"/>
      <c r="K12" s="18"/>
      <c r="L12" s="24">
        <v>45</v>
      </c>
    </row>
    <row r="13" spans="1:18" s="25" customFormat="1" ht="14.45" customHeight="1" thickBot="1" x14ac:dyDescent="0.5">
      <c r="B13" s="13" t="s">
        <v>26</v>
      </c>
      <c r="C13" s="14"/>
      <c r="D13" s="15"/>
      <c r="E13" s="3">
        <f>L13/100</f>
        <v>0.2</v>
      </c>
      <c r="H13" s="26"/>
      <c r="I13" s="27"/>
      <c r="J13" s="27"/>
      <c r="K13" s="28"/>
      <c r="L13" s="29">
        <v>20</v>
      </c>
    </row>
    <row r="14" spans="1:18" s="25" customFormat="1" ht="14.45" customHeight="1" thickBot="1" x14ac:dyDescent="0.5">
      <c r="B14" s="13" t="s">
        <v>19</v>
      </c>
      <c r="C14" s="14"/>
      <c r="D14" s="15"/>
      <c r="E14" s="3">
        <f>L14/200</f>
        <v>0</v>
      </c>
      <c r="H14" s="26"/>
      <c r="I14" s="27"/>
      <c r="J14" s="27"/>
      <c r="K14" s="28"/>
      <c r="L14" s="29">
        <v>0</v>
      </c>
    </row>
    <row r="15" spans="1:18" ht="14.45" customHeight="1" thickBot="1" x14ac:dyDescent="0.5">
      <c r="B15" s="13" t="s">
        <v>16</v>
      </c>
      <c r="C15" s="14"/>
      <c r="D15" s="15"/>
      <c r="E15" s="3">
        <f>L15/200</f>
        <v>0.05</v>
      </c>
      <c r="H15" s="16"/>
      <c r="I15" s="17"/>
      <c r="J15" s="17"/>
      <c r="K15" s="18"/>
      <c r="L15" s="30">
        <v>10</v>
      </c>
    </row>
    <row r="16" spans="1:18" ht="14.45" customHeight="1" thickBot="1" x14ac:dyDescent="0.5"/>
    <row r="17" spans="2:22" ht="14.45" customHeight="1" thickBot="1" x14ac:dyDescent="0.5">
      <c r="B17" s="13" t="s">
        <v>20</v>
      </c>
      <c r="C17" s="14"/>
      <c r="D17" s="15"/>
      <c r="E17" s="4">
        <f>L17*0.25</f>
        <v>5</v>
      </c>
      <c r="H17" s="16"/>
      <c r="I17" s="17"/>
      <c r="J17" s="17"/>
      <c r="K17" s="18"/>
      <c r="L17" s="19">
        <v>20</v>
      </c>
    </row>
    <row r="18" spans="2:22" ht="14.45" customHeight="1" thickBot="1" x14ac:dyDescent="0.5">
      <c r="B18" s="13" t="s">
        <v>10</v>
      </c>
      <c r="C18" s="14"/>
      <c r="D18" s="15"/>
      <c r="E18" s="1">
        <f>L18*5</f>
        <v>100</v>
      </c>
      <c r="H18" s="16"/>
      <c r="I18" s="17"/>
      <c r="J18" s="17"/>
      <c r="K18" s="18"/>
      <c r="L18" s="19">
        <v>20</v>
      </c>
      <c r="V18" s="8">
        <v>17</v>
      </c>
    </row>
    <row r="19" spans="2:22" ht="14.45" customHeight="1" x14ac:dyDescent="0.45">
      <c r="B19" s="23"/>
      <c r="C19" s="23"/>
      <c r="D19" s="23"/>
    </row>
    <row r="20" spans="2:22" ht="14.45" customHeight="1" x14ac:dyDescent="0.45">
      <c r="I20" s="31" t="s">
        <v>11</v>
      </c>
      <c r="J20" s="31" t="s">
        <v>12</v>
      </c>
      <c r="L20" s="32"/>
    </row>
    <row r="21" spans="2:22" ht="14.45" customHeight="1" x14ac:dyDescent="0.45">
      <c r="B21" s="33" t="s">
        <v>0</v>
      </c>
      <c r="C21" s="33"/>
      <c r="D21" s="33"/>
      <c r="E21" s="33"/>
      <c r="I21" s="52">
        <f>E14*E13*E10+E15*(1-E13)*E10</f>
        <v>12000.000000000002</v>
      </c>
      <c r="J21" s="75">
        <f>I21/(E12*12)</f>
        <v>22.222222222222225</v>
      </c>
      <c r="L21" s="73">
        <f>J21/J31</f>
        <v>0.12493024727860282</v>
      </c>
    </row>
    <row r="22" spans="2:22" ht="14.45" customHeight="1" x14ac:dyDescent="0.45">
      <c r="B22" s="33" t="s">
        <v>27</v>
      </c>
      <c r="C22" s="33"/>
      <c r="D22" s="33"/>
      <c r="E22" s="33"/>
      <c r="I22" s="52">
        <f>J22*12*L12</f>
        <v>24840</v>
      </c>
      <c r="J22" s="75">
        <f>9*E17+1</f>
        <v>46</v>
      </c>
      <c r="L22" s="73">
        <f>J22/J31</f>
        <v>0.25860561186670777</v>
      </c>
    </row>
    <row r="23" spans="2:22" ht="14.45" customHeight="1" x14ac:dyDescent="0.45">
      <c r="B23" s="33" t="s">
        <v>1</v>
      </c>
      <c r="C23" s="33"/>
      <c r="D23" s="33"/>
      <c r="E23" s="33"/>
      <c r="I23" s="52">
        <f>J23*(12*E12)</f>
        <v>12846.6</v>
      </c>
      <c r="J23" s="75">
        <f>(0.183*E18+0.3*(0.183*E18))</f>
        <v>23.79</v>
      </c>
      <c r="L23" s="73">
        <f>J23/J31</f>
        <v>0.13374407622410822</v>
      </c>
    </row>
    <row r="24" spans="2:22" ht="14.45" customHeight="1" x14ac:dyDescent="0.45">
      <c r="B24" s="33" t="s">
        <v>32</v>
      </c>
      <c r="C24" s="33"/>
      <c r="D24" s="33"/>
      <c r="E24" s="33"/>
      <c r="I24" s="52">
        <v>1529</v>
      </c>
      <c r="J24" s="75">
        <f>I24/(12*E12)</f>
        <v>2.8314814814814815</v>
      </c>
      <c r="L24" s="73">
        <f>J24/J31</f>
        <v>1.5918195674081974E-2</v>
      </c>
    </row>
    <row r="25" spans="2:22" ht="14.45" customHeight="1" x14ac:dyDescent="0.45">
      <c r="B25" s="33" t="s">
        <v>6</v>
      </c>
      <c r="C25" s="33"/>
      <c r="D25" s="33"/>
      <c r="E25" s="33"/>
      <c r="I25" s="52">
        <f>(2%*E10)+1500</f>
        <v>7500</v>
      </c>
      <c r="J25" s="75">
        <f>I25/(12*E12)</f>
        <v>13.888888888888889</v>
      </c>
      <c r="L25" s="73">
        <f>J25/J31</f>
        <v>7.8081404549126751E-2</v>
      </c>
    </row>
    <row r="26" spans="2:22" ht="14.45" customHeight="1" x14ac:dyDescent="0.45">
      <c r="B26" s="33" t="s">
        <v>2</v>
      </c>
      <c r="C26" s="33"/>
      <c r="D26" s="33"/>
      <c r="E26" s="33"/>
      <c r="I26" s="52">
        <f>5.6%*E10</f>
        <v>16800</v>
      </c>
      <c r="J26" s="75">
        <f>I26/(12*E12)</f>
        <v>31.111111111111111</v>
      </c>
      <c r="L26" s="73">
        <f>J26/J31</f>
        <v>0.17490234619004391</v>
      </c>
    </row>
    <row r="27" spans="2:22" ht="14.45" customHeight="1" x14ac:dyDescent="0.45">
      <c r="B27" s="33" t="s">
        <v>3</v>
      </c>
      <c r="C27" s="33"/>
      <c r="D27" s="33"/>
      <c r="E27" s="33"/>
      <c r="I27" s="52">
        <f>12*154</f>
        <v>1848</v>
      </c>
      <c r="J27" s="75">
        <f>I27/(12*E12)</f>
        <v>3.4222222222222221</v>
      </c>
      <c r="L27" s="73">
        <f>J27/J31</f>
        <v>1.923925808090483E-2</v>
      </c>
    </row>
    <row r="28" spans="2:22" ht="14.45" customHeight="1" x14ac:dyDescent="0.45">
      <c r="B28" s="33" t="s">
        <v>4</v>
      </c>
      <c r="C28" s="33"/>
      <c r="D28" s="33"/>
      <c r="E28" s="33"/>
      <c r="I28" s="52">
        <f>1.1%*E10</f>
        <v>3300.0000000000005</v>
      </c>
      <c r="J28" s="75">
        <f>I28/(12*E12)</f>
        <v>6.1111111111111116</v>
      </c>
      <c r="L28" s="73">
        <f>J28/J31</f>
        <v>3.4355818001615773E-2</v>
      </c>
    </row>
    <row r="29" spans="2:22" ht="14.45" customHeight="1" x14ac:dyDescent="0.45">
      <c r="B29" s="33" t="s">
        <v>30</v>
      </c>
      <c r="C29" s="33"/>
      <c r="D29" s="33"/>
      <c r="E29" s="33"/>
      <c r="I29" s="52">
        <f>E12*12*J29</f>
        <v>15390</v>
      </c>
      <c r="J29" s="76">
        <f>E33*0.15</f>
        <v>28.5</v>
      </c>
      <c r="L29" s="73">
        <f>I29/I31</f>
        <v>0.16022304213480806</v>
      </c>
    </row>
    <row r="30" spans="2:22" ht="14.45" customHeight="1" thickBot="1" x14ac:dyDescent="0.5">
      <c r="J30" s="35"/>
      <c r="L30" s="74"/>
    </row>
    <row r="31" spans="2:22" ht="14.45" customHeight="1" thickBot="1" x14ac:dyDescent="0.55000000000000004">
      <c r="B31" s="55" t="s">
        <v>38</v>
      </c>
      <c r="C31" s="37"/>
      <c r="D31" s="35"/>
      <c r="I31" s="61">
        <f>I21+I22+I23+I24+I25+I26+I27+I28+I29</f>
        <v>96053.6</v>
      </c>
      <c r="J31" s="64">
        <f>J21+J22+J23+J24+J25+J26+J27+J28+J29</f>
        <v>177.87703703703701</v>
      </c>
      <c r="L31" s="73">
        <f>J31/J31</f>
        <v>1</v>
      </c>
    </row>
    <row r="32" spans="2:22" ht="14.45" customHeight="1" thickBot="1" x14ac:dyDescent="0.55000000000000004">
      <c r="B32" s="49"/>
      <c r="C32" s="34"/>
      <c r="D32" s="34"/>
      <c r="E32" s="34"/>
      <c r="F32" s="34"/>
      <c r="H32" s="35"/>
      <c r="J32" s="38"/>
      <c r="L32" s="39"/>
    </row>
    <row r="33" spans="2:12" ht="14.45" customHeight="1" thickBot="1" x14ac:dyDescent="0.5">
      <c r="B33" s="13" t="s">
        <v>24</v>
      </c>
      <c r="C33" s="14"/>
      <c r="D33" s="15"/>
      <c r="E33" s="69">
        <f>L33*10</f>
        <v>190</v>
      </c>
      <c r="F33" s="50"/>
      <c r="G33" s="23"/>
      <c r="H33" s="16"/>
      <c r="I33" s="17"/>
      <c r="J33" s="17"/>
      <c r="K33" s="53"/>
      <c r="L33" s="39">
        <v>19</v>
      </c>
    </row>
    <row r="34" spans="2:12" ht="14.45" customHeight="1" thickBot="1" x14ac:dyDescent="0.5">
      <c r="B34" s="33"/>
      <c r="E34" s="23"/>
      <c r="F34" s="23"/>
      <c r="G34" s="23"/>
      <c r="H34" s="46"/>
      <c r="I34" s="46"/>
      <c r="J34" s="46"/>
      <c r="L34" s="39"/>
    </row>
    <row r="35" spans="2:12" ht="14.45" customHeight="1" thickBot="1" x14ac:dyDescent="0.5">
      <c r="B35" s="13" t="s">
        <v>21</v>
      </c>
      <c r="C35" s="14"/>
      <c r="D35" s="15"/>
      <c r="E35" s="37"/>
      <c r="F35" s="37"/>
      <c r="G35" s="37"/>
      <c r="H35" s="46"/>
      <c r="I35" s="66">
        <f>E12*12*E33</f>
        <v>102600</v>
      </c>
      <c r="J35" s="66">
        <f>E33</f>
        <v>190</v>
      </c>
      <c r="L35" s="39"/>
    </row>
    <row r="36" spans="2:12" ht="14.45" customHeight="1" thickBot="1" x14ac:dyDescent="0.5">
      <c r="B36" s="13" t="s">
        <v>22</v>
      </c>
      <c r="C36" s="14"/>
      <c r="D36" s="15"/>
      <c r="E36" s="37"/>
      <c r="F36" s="37"/>
      <c r="G36" s="37"/>
      <c r="H36" s="46"/>
      <c r="I36" s="67">
        <f>-I31+I35</f>
        <v>6546.3999999999942</v>
      </c>
      <c r="J36" s="68">
        <f>-(J31-J35)</f>
        <v>12.122962962962987</v>
      </c>
      <c r="K36" s="40"/>
      <c r="L36" s="41"/>
    </row>
    <row r="37" spans="2:12" ht="14.45" customHeight="1" x14ac:dyDescent="0.45">
      <c r="B37" s="23"/>
      <c r="C37" s="23"/>
      <c r="D37" s="23"/>
      <c r="K37" s="43"/>
      <c r="L37" s="41"/>
    </row>
    <row r="38" spans="2:12" ht="14.45" customHeight="1" x14ac:dyDescent="0.5">
      <c r="B38" s="55" t="s">
        <v>35</v>
      </c>
      <c r="C38" s="23"/>
      <c r="D38" s="23"/>
      <c r="K38" s="43"/>
      <c r="L38" s="41"/>
    </row>
    <row r="39" spans="2:12" ht="14.45" customHeight="1" thickBot="1" x14ac:dyDescent="0.55000000000000004">
      <c r="B39" s="55"/>
      <c r="C39" s="23"/>
      <c r="D39" s="23"/>
      <c r="K39" s="43"/>
      <c r="L39" s="41"/>
    </row>
    <row r="40" spans="2:12" ht="14.45" customHeight="1" thickBot="1" x14ac:dyDescent="0.55000000000000004">
      <c r="B40" s="13" t="s">
        <v>14</v>
      </c>
      <c r="C40" s="14"/>
      <c r="D40" s="15"/>
      <c r="E40" s="70">
        <f>L40/100</f>
        <v>0.35</v>
      </c>
      <c r="F40" s="51"/>
      <c r="H40" s="16"/>
      <c r="I40" s="17"/>
      <c r="J40" s="17"/>
      <c r="K40" s="53"/>
      <c r="L40" s="41">
        <v>35</v>
      </c>
    </row>
    <row r="41" spans="2:12" ht="14.45" customHeight="1" x14ac:dyDescent="0.5">
      <c r="B41" s="51"/>
      <c r="E41" s="51"/>
      <c r="H41" s="43"/>
      <c r="I41" s="43"/>
      <c r="J41" s="43"/>
      <c r="K41" s="43"/>
      <c r="L41" s="41"/>
    </row>
    <row r="42" spans="2:12" ht="14.45" customHeight="1" x14ac:dyDescent="0.45">
      <c r="B42" s="78" t="s">
        <v>23</v>
      </c>
      <c r="C42" s="79"/>
      <c r="D42" s="88"/>
      <c r="E42" s="80"/>
      <c r="H42" s="43"/>
      <c r="I42" s="84">
        <f>E12*E33*12</f>
        <v>102600</v>
      </c>
      <c r="K42" s="43"/>
      <c r="L42" s="41"/>
    </row>
    <row r="43" spans="2:12" ht="14.45" customHeight="1" x14ac:dyDescent="0.45">
      <c r="B43" s="56"/>
      <c r="C43" s="81"/>
      <c r="D43" s="36"/>
      <c r="E43" s="43"/>
      <c r="H43" s="43"/>
      <c r="I43" s="83"/>
      <c r="K43" s="43"/>
      <c r="L43" s="41"/>
    </row>
    <row r="44" spans="2:12" ht="14.45" customHeight="1" x14ac:dyDescent="0.5">
      <c r="B44" s="86" t="s">
        <v>33</v>
      </c>
      <c r="C44" s="82"/>
      <c r="D44" s="82"/>
      <c r="E44" s="87"/>
      <c r="F44" s="42"/>
      <c r="H44" s="43"/>
      <c r="I44" s="84">
        <f>E15*(M335-E13)*E10+0.2*E10+(I22+I23+I24+I25+I27+I28+I29)</f>
        <v>124253.6</v>
      </c>
      <c r="K44" s="43"/>
      <c r="L44" s="41"/>
    </row>
    <row r="45" spans="2:12" ht="14.45" customHeight="1" x14ac:dyDescent="0.5">
      <c r="B45" s="89" t="s">
        <v>36</v>
      </c>
      <c r="C45" s="88"/>
      <c r="D45" s="88"/>
      <c r="E45" s="80"/>
      <c r="F45" s="42"/>
      <c r="H45" s="43"/>
      <c r="I45" s="85"/>
      <c r="K45" s="43"/>
      <c r="L45" s="41"/>
    </row>
    <row r="46" spans="2:12" ht="14.45" customHeight="1" x14ac:dyDescent="0.5">
      <c r="B46" s="89" t="s">
        <v>37</v>
      </c>
      <c r="C46" s="88"/>
      <c r="D46" s="88"/>
      <c r="E46" s="80"/>
      <c r="F46" s="42"/>
      <c r="H46" s="43"/>
      <c r="I46" s="84">
        <f>I35-I45-I44</f>
        <v>-21653.600000000006</v>
      </c>
      <c r="K46" s="43"/>
      <c r="L46" s="41"/>
    </row>
    <row r="47" spans="2:12" ht="5.75" customHeight="1" thickBot="1" x14ac:dyDescent="0.55000000000000004">
      <c r="B47" s="77"/>
      <c r="C47" s="36"/>
      <c r="D47" s="36"/>
      <c r="E47" s="43"/>
      <c r="F47" s="42"/>
      <c r="H47" s="43"/>
      <c r="I47" s="83"/>
      <c r="K47" s="43"/>
      <c r="L47" s="41"/>
    </row>
    <row r="48" spans="2:12" ht="14.45" customHeight="1" thickBot="1" x14ac:dyDescent="0.55000000000000004">
      <c r="B48" s="57" t="s">
        <v>39</v>
      </c>
      <c r="C48" s="58"/>
      <c r="D48" s="36"/>
      <c r="H48" s="43"/>
      <c r="I48" s="68">
        <f>-E40*I46</f>
        <v>7578.7600000000011</v>
      </c>
      <c r="J48" s="68">
        <f>I48/(12*E12)</f>
        <v>14.034740740740743</v>
      </c>
      <c r="K48" s="43"/>
      <c r="L48" s="41"/>
    </row>
    <row r="49" spans="1:13" ht="14.45" customHeight="1" x14ac:dyDescent="0.5">
      <c r="A49" s="43"/>
      <c r="B49" s="33"/>
      <c r="D49" s="33"/>
      <c r="E49" s="42"/>
      <c r="F49" s="42"/>
      <c r="H49" s="43"/>
      <c r="I49" s="52"/>
      <c r="K49" s="43"/>
      <c r="L49" s="41"/>
      <c r="M49" s="43"/>
    </row>
    <row r="50" spans="1:13" ht="14.45" customHeight="1" thickBot="1" x14ac:dyDescent="0.55000000000000004">
      <c r="B50" s="59"/>
      <c r="C50" s="23"/>
      <c r="D50" s="23"/>
      <c r="H50" s="43"/>
      <c r="I50" s="44"/>
      <c r="J50" s="45"/>
    </row>
    <row r="51" spans="1:13" ht="14.45" customHeight="1" thickBot="1" x14ac:dyDescent="0.55000000000000004">
      <c r="B51" s="55" t="s">
        <v>40</v>
      </c>
      <c r="C51" s="55"/>
      <c r="D51" s="55"/>
      <c r="E51" s="60"/>
      <c r="F51" s="34"/>
      <c r="I51" s="62">
        <f>I36+I48</f>
        <v>14125.159999999996</v>
      </c>
      <c r="J51" s="63">
        <f>J36+J48</f>
        <v>26.157703703703731</v>
      </c>
    </row>
    <row r="52" spans="1:13" ht="14.45" customHeight="1" x14ac:dyDescent="0.45">
      <c r="B52" s="23"/>
      <c r="C52" s="23"/>
      <c r="D52" s="23"/>
      <c r="E52" s="23"/>
      <c r="G52" s="54"/>
      <c r="I52" s="23"/>
    </row>
    <row r="53" spans="1:13" ht="14.45" customHeight="1" x14ac:dyDescent="0.45">
      <c r="B53" s="47"/>
    </row>
    <row r="54" spans="1:13" ht="14.45" customHeight="1" x14ac:dyDescent="0.45">
      <c r="B54" s="47"/>
    </row>
    <row r="55" spans="1:13" ht="14.45" customHeight="1" x14ac:dyDescent="0.45">
      <c r="B55" s="47"/>
    </row>
    <row r="78" spans="3:7" ht="14.45" customHeight="1" x14ac:dyDescent="0.45">
      <c r="C78" s="48"/>
      <c r="D78" s="48"/>
      <c r="E78" s="48"/>
      <c r="F78" s="48"/>
      <c r="G78" s="48"/>
    </row>
    <row r="79" spans="3:7" ht="14.45" customHeight="1" x14ac:dyDescent="0.45">
      <c r="C79" s="48"/>
      <c r="D79" s="48"/>
      <c r="E79" s="48"/>
      <c r="F79" s="48"/>
      <c r="G79" s="48"/>
    </row>
    <row r="80" spans="3:7" ht="14.45" customHeight="1" x14ac:dyDescent="0.45">
      <c r="C80" s="48"/>
      <c r="D80" s="48"/>
      <c r="E80" s="48"/>
      <c r="F80" s="48"/>
      <c r="G80" s="48"/>
    </row>
    <row r="81" spans="2:7" ht="14.45" customHeight="1" x14ac:dyDescent="0.45">
      <c r="C81" s="48"/>
      <c r="D81" s="48"/>
      <c r="E81" s="48"/>
      <c r="F81" s="48"/>
      <c r="G81" s="48"/>
    </row>
    <row r="82" spans="2:7" ht="14.45" customHeight="1" x14ac:dyDescent="0.45">
      <c r="C82" s="48"/>
      <c r="D82" s="48"/>
      <c r="E82" s="48"/>
      <c r="F82" s="48"/>
      <c r="G82" s="48"/>
    </row>
    <row r="83" spans="2:7" ht="14.45" customHeight="1" x14ac:dyDescent="0.45">
      <c r="B83" s="72" t="s">
        <v>34</v>
      </c>
    </row>
    <row r="84" spans="2:7" ht="14.45" customHeight="1" x14ac:dyDescent="0.45">
      <c r="B84" s="71" t="s">
        <v>31</v>
      </c>
    </row>
  </sheetData>
  <sheetProtection algorithmName="SHA-512" hashValue="odW9thn+v4+2Y/rBfXC9DMVROGTygG4dPum1EuNkikANjobxquw2e4RH7SLwbv04qzF3pLWUjfzU+lUn1U2Czw==" saltValue="57g38tni031yGt93maYwUw==" spinCount="100000" sheet="1" objects="1" scenarios="1"/>
  <mergeCells count="4">
    <mergeCell ref="H8:J8"/>
    <mergeCell ref="B6:K6"/>
    <mergeCell ref="B7:K7"/>
    <mergeCell ref="B2:J3"/>
  </mergeCells>
  <conditionalFormatting sqref="L35">
    <cfRule type="dataBar" priority="1">
      <dataBar>
        <cfvo type="min"/>
        <cfvo type="max"/>
        <color rgb="FFFF555A"/>
      </dataBar>
      <extLst>
        <ext xmlns:x14="http://schemas.microsoft.com/office/spreadsheetml/2009/9/main" uri="{B025F937-C7B1-47D3-B67F-A62EFF666E3E}">
          <x14:id>{2E028855-CF81-4A4B-88D5-2ED3D3C8C146}</x14:id>
        </ext>
      </extLst>
    </cfRule>
    <cfRule type="colorScale" priority="2">
      <colorScale>
        <cfvo type="min"/>
        <cfvo type="max"/>
        <color rgb="FF63BE7B"/>
        <color rgb="FFFCFCFF"/>
      </colorScale>
    </cfRule>
  </conditionalFormatting>
  <pageMargins left="0.7" right="0.7" top="0.75" bottom="0.75" header="0.3" footer="0.3"/>
  <pageSetup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croll Bar 1">
              <controlPr defaultSize="0" autoPict="0">
                <anchor moveWithCells="1">
                  <from>
                    <xdr:col>7</xdr:col>
                    <xdr:colOff>28575</xdr:colOff>
                    <xdr:row>17</xdr:row>
                    <xdr:rowOff>28575</xdr:rowOff>
                  </from>
                  <to>
                    <xdr:col>9</xdr:col>
                    <xdr:colOff>581025</xdr:colOff>
                    <xdr:row>17</xdr:row>
                    <xdr:rowOff>166688</xdr:rowOff>
                  </to>
                </anchor>
              </controlPr>
            </control>
          </mc:Choice>
        </mc:AlternateContent>
        <mc:AlternateContent xmlns:mc="http://schemas.openxmlformats.org/markup-compatibility/2006">
          <mc:Choice Requires="x14">
            <control shapeId="2050" r:id="rId5" name="Scroll Bar 2">
              <controlPr defaultSize="0" autoPict="0">
                <anchor moveWithCells="1">
                  <from>
                    <xdr:col>7</xdr:col>
                    <xdr:colOff>38100</xdr:colOff>
                    <xdr:row>11</xdr:row>
                    <xdr:rowOff>28575</xdr:rowOff>
                  </from>
                  <to>
                    <xdr:col>9</xdr:col>
                    <xdr:colOff>585788</xdr:colOff>
                    <xdr:row>11</xdr:row>
                    <xdr:rowOff>176213</xdr:rowOff>
                  </to>
                </anchor>
              </controlPr>
            </control>
          </mc:Choice>
        </mc:AlternateContent>
        <mc:AlternateContent xmlns:mc="http://schemas.openxmlformats.org/markup-compatibility/2006">
          <mc:Choice Requires="x14">
            <control shapeId="2051" r:id="rId6" name="Scroll Bar 3">
              <controlPr defaultSize="0" autoPict="0">
                <anchor moveWithCells="1">
                  <from>
                    <xdr:col>7</xdr:col>
                    <xdr:colOff>38100</xdr:colOff>
                    <xdr:row>14</xdr:row>
                    <xdr:rowOff>23813</xdr:rowOff>
                  </from>
                  <to>
                    <xdr:col>9</xdr:col>
                    <xdr:colOff>581025</xdr:colOff>
                    <xdr:row>14</xdr:row>
                    <xdr:rowOff>176213</xdr:rowOff>
                  </to>
                </anchor>
              </controlPr>
            </control>
          </mc:Choice>
        </mc:AlternateContent>
        <mc:AlternateContent xmlns:mc="http://schemas.openxmlformats.org/markup-compatibility/2006">
          <mc:Choice Requires="x14">
            <control shapeId="2052" r:id="rId7" name="Scroll Bar 4">
              <controlPr defaultSize="0" autoPict="0">
                <anchor moveWithCells="1">
                  <from>
                    <xdr:col>7</xdr:col>
                    <xdr:colOff>47625</xdr:colOff>
                    <xdr:row>12</xdr:row>
                    <xdr:rowOff>28575</xdr:rowOff>
                  </from>
                  <to>
                    <xdr:col>9</xdr:col>
                    <xdr:colOff>585788</xdr:colOff>
                    <xdr:row>12</xdr:row>
                    <xdr:rowOff>166688</xdr:rowOff>
                  </to>
                </anchor>
              </controlPr>
            </control>
          </mc:Choice>
        </mc:AlternateContent>
        <mc:AlternateContent xmlns:mc="http://schemas.openxmlformats.org/markup-compatibility/2006">
          <mc:Choice Requires="x14">
            <control shapeId="2056" r:id="rId8" name="Scroll Bar 8">
              <controlPr defaultSize="0" autoPict="0">
                <anchor moveWithCells="1">
                  <from>
                    <xdr:col>7</xdr:col>
                    <xdr:colOff>38100</xdr:colOff>
                    <xdr:row>16</xdr:row>
                    <xdr:rowOff>28575</xdr:rowOff>
                  </from>
                  <to>
                    <xdr:col>9</xdr:col>
                    <xdr:colOff>581025</xdr:colOff>
                    <xdr:row>16</xdr:row>
                    <xdr:rowOff>166688</xdr:rowOff>
                  </to>
                </anchor>
              </controlPr>
            </control>
          </mc:Choice>
        </mc:AlternateContent>
        <mc:AlternateContent xmlns:mc="http://schemas.openxmlformats.org/markup-compatibility/2006">
          <mc:Choice Requires="x14">
            <control shapeId="2058" r:id="rId9" name="Scroll Bar 10">
              <controlPr defaultSize="0" autoPict="0">
                <anchor moveWithCells="1">
                  <from>
                    <xdr:col>7</xdr:col>
                    <xdr:colOff>38100</xdr:colOff>
                    <xdr:row>9</xdr:row>
                    <xdr:rowOff>23813</xdr:rowOff>
                  </from>
                  <to>
                    <xdr:col>9</xdr:col>
                    <xdr:colOff>595313</xdr:colOff>
                    <xdr:row>9</xdr:row>
                    <xdr:rowOff>166688</xdr:rowOff>
                  </to>
                </anchor>
              </controlPr>
            </control>
          </mc:Choice>
        </mc:AlternateContent>
        <mc:AlternateContent xmlns:mc="http://schemas.openxmlformats.org/markup-compatibility/2006">
          <mc:Choice Requires="x14">
            <control shapeId="2060" r:id="rId10" name="Scroll Bar 12">
              <controlPr defaultSize="0" autoPict="0">
                <anchor moveWithCells="1">
                  <from>
                    <xdr:col>7</xdr:col>
                    <xdr:colOff>47625</xdr:colOff>
                    <xdr:row>13</xdr:row>
                    <xdr:rowOff>23813</xdr:rowOff>
                  </from>
                  <to>
                    <xdr:col>9</xdr:col>
                    <xdr:colOff>581025</xdr:colOff>
                    <xdr:row>13</xdr:row>
                    <xdr:rowOff>176213</xdr:rowOff>
                  </to>
                </anchor>
              </controlPr>
            </control>
          </mc:Choice>
        </mc:AlternateContent>
        <mc:AlternateContent xmlns:mc="http://schemas.openxmlformats.org/markup-compatibility/2006">
          <mc:Choice Requires="x14">
            <control shapeId="2070" r:id="rId11" name="Scroll Bar 22">
              <controlPr defaultSize="0" autoPict="0">
                <anchor moveWithCells="1">
                  <from>
                    <xdr:col>7</xdr:col>
                    <xdr:colOff>28575</xdr:colOff>
                    <xdr:row>32</xdr:row>
                    <xdr:rowOff>28575</xdr:rowOff>
                  </from>
                  <to>
                    <xdr:col>9</xdr:col>
                    <xdr:colOff>581025</xdr:colOff>
                    <xdr:row>32</xdr:row>
                    <xdr:rowOff>176213</xdr:rowOff>
                  </to>
                </anchor>
              </controlPr>
            </control>
          </mc:Choice>
        </mc:AlternateContent>
        <mc:AlternateContent xmlns:mc="http://schemas.openxmlformats.org/markup-compatibility/2006">
          <mc:Choice Requires="x14">
            <control shapeId="2072" r:id="rId12" name="Scroll Bar 24">
              <controlPr defaultSize="0" autoPict="0">
                <anchor moveWithCells="1">
                  <from>
                    <xdr:col>7</xdr:col>
                    <xdr:colOff>28575</xdr:colOff>
                    <xdr:row>39</xdr:row>
                    <xdr:rowOff>23813</xdr:rowOff>
                  </from>
                  <to>
                    <xdr:col>9</xdr:col>
                    <xdr:colOff>571500</xdr:colOff>
                    <xdr:row>39</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E028855-CF81-4A4B-88D5-2ED3D3C8C146}">
            <x14:dataBar minLength="0" maxLength="100" border="1" negativeBarBorderColorSameAsPositive="0">
              <x14:cfvo type="autoMin"/>
              <x14:cfvo type="autoMax"/>
              <x14:borderColor rgb="FFFF555A"/>
              <x14:negativeFillColor rgb="FFFF0000"/>
              <x14:negativeBorderColor rgb="FFFF0000"/>
              <x14:axisColor rgb="FF000000"/>
            </x14:dataBar>
          </x14:cfRule>
          <xm:sqref>L35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Costs, Rentl Inc, Tax Benfts</vt:lpstr>
      <vt:lpstr>'Costs, Rentl Inc, Tax Benfts'!Print_Area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Bert Postma</cp:lastModifiedBy>
  <cp:lastPrinted>2016-12-06T04:19:19Z</cp:lastPrinted>
  <dcterms:created xsi:type="dcterms:W3CDTF">2013-11-24T03:45:13Z</dcterms:created>
  <dcterms:modified xsi:type="dcterms:W3CDTF">2016-12-31T19:52:33Z</dcterms:modified>
</cp:coreProperties>
</file>